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5"/>
  <workbookPr/>
  <mc:AlternateContent xmlns:mc="http://schemas.openxmlformats.org/markup-compatibility/2006">
    <mc:Choice Requires="x15">
      <x15ac:absPath xmlns:x15ac="http://schemas.microsoft.com/office/spreadsheetml/2010/11/ac" url="https://dksund.sharepoint.com/sites/SDS-DIS-GM_Lakeside/Delte dokumenter/General/GMV2/Test Management/0 Testdata/Test personaer MVP/"/>
    </mc:Choice>
  </mc:AlternateContent>
  <xr:revisionPtr revIDLastSave="0" documentId="8_{7C684157-ED87-4D2C-B597-01EBAC96CD55}" xr6:coauthVersionLast="47" xr6:coauthVersionMax="47" xr10:uidLastSave="{00000000-0000-0000-0000-000000000000}"/>
  <bookViews>
    <workbookView xWindow="240" yWindow="105" windowWidth="14805" windowHeight="8010" firstSheet="3" xr2:uid="{00000000-000D-0000-FFFF-FFFF00000000}"/>
  </bookViews>
  <sheets>
    <sheet name="Info" sheetId="8" r:id="rId1"/>
    <sheet name="Svangerskabsjournal" sheetId="1" r:id="rId2"/>
    <sheet name="Vandrejournal" sheetId="3" r:id="rId3"/>
    <sheet name="Målinger" sheetId="4" r:id="rId4"/>
    <sheet name="AftalerDatoer" sheetId="5" r:id="rId5"/>
    <sheet name="Datavalidering" sheetId="2" r:id="rId6"/>
    <sheet name="SNOMED+ISO" sheetId="7" r:id="rId7"/>
    <sheet name="CDAHeaderData" sheetId="6" r:id="rId8"/>
  </sheets>
  <definedNames>
    <definedName name="aftale">Datavalidering!$K$24:$K$36</definedName>
    <definedName name="aftaler">AftalerDatoer!$C$4:$C$26</definedName>
    <definedName name="alder">Vandrejournal!$F$2:$F$2</definedName>
    <definedName name="BKM_00274480_E64E_427E_AEF0_D822CF5671A5">Datavalidering!$U$217</definedName>
    <definedName name="BKM_00918E80_841C_4696_B371_C301EFB9842D">Datavalidering!$U$198</definedName>
    <definedName name="BKM_00BFCBA3_B035_47F1_8EAA_6F5AE4053451">Datavalidering!$U$222</definedName>
    <definedName name="BKM_01739D0F_BACD_4240_AC14_B7B61C57434E">Datavalidering!$U$123</definedName>
    <definedName name="BKM_0227B143_6A25_4679_8C7D_6A96F3E21475">Datavalidering!$Y$61</definedName>
    <definedName name="BKM_023BA1F9_0890_431A_AB8F_3398E16531FA">Datavalidering!$U$313</definedName>
    <definedName name="BKM_02597391_42BD_4B9C_9BCC_4510FC4B740A">Datavalidering!$Y$136</definedName>
    <definedName name="BKM_0267FCBC_65AF_4D45_B3AF_2005D909EC84">Datavalidering!$U$164</definedName>
    <definedName name="BKM_03C20731_A7D0_4FB3_8BB0_9313C9792434">Datavalidering!$Y$95</definedName>
    <definedName name="BKM_042BA0AB_512A_4FB0_A32C_AD715BC5FC53">Datavalidering!$Y$79</definedName>
    <definedName name="BKM_043BBC3E_F714_46F5_8AD3_47EBDBD486E6">Datavalidering!$U$261</definedName>
    <definedName name="BKM_0468BF57_4EB8_4F8D_A811_842EAB10B4F0">Datavalidering!$U$231</definedName>
    <definedName name="BKM_04C8C25A_8911_44A1_BB84_B3DF74BC8453">Datavalidering!$U$233</definedName>
    <definedName name="BKM_04FCA02C_625C_4B3A_8EFF_2DE99417EE7B">Datavalidering!$U$160</definedName>
    <definedName name="BKM_0606CAB2_B073_4FE6_91D1_C176D2A0B473">Datavalidering!$U$249</definedName>
    <definedName name="BKM_07490520_5E91_42F8_90DC_B4F18F500E3B">Datavalidering!$U$98</definedName>
    <definedName name="BKM_07878F9E_ED52_4685_8D08_52A6940CB379">Datavalidering!$U$170</definedName>
    <definedName name="BKM_083A25ED_F7C1_4637_BC41_0B723B5BAB19">Datavalidering!$U$281</definedName>
    <definedName name="BKM_09023623_A002_477E_BFD2_36684930F240">Datavalidering!$U$162</definedName>
    <definedName name="BKM_0A17140A_87A9_48D6_8979_C2A5875D950D">Datavalidering!$Y$140</definedName>
    <definedName name="BKM_0A396056_7709_4C99_8484_6BBEA96F8862">Datavalidering!$U$240</definedName>
    <definedName name="BKM_0ABC45B5_23A8_4607_8C70_8B10F3AF13FA">Datavalidering!$Y$156</definedName>
    <definedName name="BKM_0BD4EF3D_4982_44BF_AFEE_15C75CA2AE62">Datavalidering!$U$288</definedName>
    <definedName name="BKM_0C29DAD1_890C_4CF0_9624_B5331F689115">Datavalidering!$U$306</definedName>
    <definedName name="BKM_0D6840DA_A4DE_4E7E_9620_7CA9BB36C734">Datavalidering!$U$226</definedName>
    <definedName name="BKM_0DDEB711_B20F_42C3_B3A2_9912F38F3DCC">Datavalidering!$Y$162</definedName>
    <definedName name="BKM_0F6F3001_40EB_4317_873C_A153CD512A2E">Datavalidering!$U$331</definedName>
    <definedName name="BKM_1027CE94_8171_4D55_BD7D_51A14E51175F">Datavalidering!$U$329</definedName>
    <definedName name="BKM_104E4F23_3DCF_4D59_A71D_F0728EE9F5ED">Datavalidering!$U$263</definedName>
    <definedName name="BKM_10988D50_2402_455F_B162_E8DBFA81D6C4">Datavalidering!$U$196</definedName>
    <definedName name="BKM_10F7A1AB_1DAB_44EE_96B2_C8CE71EC8A51">Datavalidering!$Y$209</definedName>
    <definedName name="BKM_1175AB74_8C2E_49B3_8E9A_BA5F26944B75">Datavalidering!$U$67</definedName>
    <definedName name="BKM_1192637F_AC7C_4FE7_BE1D_2A853CDDF199">Datavalidering!$Y$170</definedName>
    <definedName name="BKM_119F9D68_A2DA_4E96_81E6_A54B345E136C">Datavalidering!$U$88</definedName>
    <definedName name="BKM_11E246A1_3CB6_4292_A34B_B3BCBBD0A8F8">Datavalidering!$Y$188</definedName>
    <definedName name="BKM_1215BD2B_541D_4438_A308_49E5045CF12A">Datavalidering!$U$89</definedName>
    <definedName name="BKM_1311DA0E_BEF5_410B_BBD9_589E827AAAD4">Datavalidering!$U$268</definedName>
    <definedName name="BKM_13120E36_F59D_4237_9C6B_D47D09A94F1C">Datavalidering!$Y$186</definedName>
    <definedName name="BKM_132BE680_1929_4675_AE00_211EE1613A35">Datavalidering!$U$175</definedName>
    <definedName name="BKM_1334C3B5_BF3C_4C0D_BE2C_9000BA0CC492">Datavalidering!$U$357</definedName>
    <definedName name="BKM_13AC0D38_1399_4A94_B9D3_6A58106F6F07">Datavalidering!$U$188</definedName>
    <definedName name="BKM_13B469B1_8A99_408E_941A_E71A0630C446">Datavalidering!$U$266</definedName>
    <definedName name="BKM_143BA027_4426_491D_B132_C111FB449E3A">Datavalidering!$U$61</definedName>
    <definedName name="BKM_147D17FD_8859_4F74_BC5F_6C3686328597">Datavalidering!$Y$199</definedName>
    <definedName name="BKM_1520CCB4_79B8_4878_A2F7_83B116104624">Datavalidering!$U$142</definedName>
    <definedName name="BKM_1614DF00_A9DD_42BD_A232_6B55B827C3FB">Datavalidering!$U$211</definedName>
    <definedName name="BKM_1637A2E4_F3D1_4345_A5DF_B0796E44403C">Datavalidering!$U$342</definedName>
    <definedName name="BKM_164DACA2_A073_4AFE_A242_9FB83E2E3596">Datavalidering!$U$253</definedName>
    <definedName name="BKM_1765F6E0_B905_40D3_AD4A_39353751D581">Datavalidering!$Y$83</definedName>
    <definedName name="BKM_182954C7_167D_4B56_ACEE_6D08FCCAB458">Datavalidering!$Y$158</definedName>
    <definedName name="BKM_18A5EADB_EA82_4097_A9A4_748453E35FCA">Datavalidering!$U$317</definedName>
    <definedName name="BKM_197B2A42_F475_4633_BB11_871DA6A99B83">Datavalidering!$Y$129</definedName>
    <definedName name="BKM_1994A953_47A2_4259_B206_31F94B8F4517">Datavalidering!$U$154</definedName>
    <definedName name="BKM_1B1A47AC_4939_49E7_A360_A56A54D2324B">Datavalidering!$Y$123</definedName>
    <definedName name="BKM_1C33E7AF_A780_49F7_8669_849C2821EBAB">Datavalidering!$U$343</definedName>
    <definedName name="BKM_1C6F84D6_375A_4F31_B53F_CD9D61B4D0E3">Datavalidering!$U$152</definedName>
    <definedName name="BKM_1C7F51AD_3454_4C49_B330_59B541F1F334">Datavalidering!$Y$185</definedName>
    <definedName name="BKM_1DCF0E8F_1767_4F0E_A9EF_5C01CE9FDC17">Datavalidering!#REF!</definedName>
    <definedName name="BKM_1E881914_7A30_45B1_8A7F_9176C28A2325">Datavalidering!$U$209</definedName>
    <definedName name="BKM_1EA5EF11_5E8A_42FB_A703_4A4843DBFC40">Datavalidering!$U$247</definedName>
    <definedName name="BKM_1F18E300_B849_4A9A_A50D_F9773D5CB0FF">Datavalidering!$U$210</definedName>
    <definedName name="BKM_1F4244EF_2E6C_4C0C_B189_EBFC4D37D9EC">Datavalidering!$U$80</definedName>
    <definedName name="BKM_20C5F1E6_5AE9_44E9_A719_9AEA5E87D3C2">Datavalidering!$Y$202</definedName>
    <definedName name="BKM_21142AAB_AD00_4E80_B0E1_2A5B0E135174">Datavalidering!$U$283</definedName>
    <definedName name="BKM_2276F599_B102_47E5_9C57_D2237585FCDD">Datavalidering!$Y$119</definedName>
    <definedName name="BKM_231E929F_7DC0_43DE_A157_1DA0C40EF694">Datavalidering!$U$207</definedName>
    <definedName name="BKM_23837447_A039_46CC_9B21_B2B03B5A90CB">Datavalidering!$Y$77</definedName>
    <definedName name="BKM_23FECE1A_8E93_412C_A481_EDD5DEFE31B0">Datavalidering!$U$165</definedName>
    <definedName name="BKM_2608E9FB_67CB_4374_B005_EE6459EA6FB1">Datavalidering!$Y$127</definedName>
    <definedName name="BKM_2735B9EB_535F_4ED8_9B6F_F76887465B16">Datavalidering!$U$65</definedName>
    <definedName name="BKM_281B6297_AE30_492D_A7D1_D645C65B4FB4">Datavalidering!$U$295</definedName>
    <definedName name="BKM_2833138D_FD8C_422F_82D8_34B3B4F43A10">Datavalidering!$U$179</definedName>
    <definedName name="BKM_28B9D510_8256_4EE5_8884_50911F5F9B76">Datavalidering!$U$105</definedName>
    <definedName name="BKM_2AB5C7D0_60BE_430C_A274_B148C66AC2EE">Datavalidering!$Y$153</definedName>
    <definedName name="BKM_2ACB5A8F_120E_419B_BBB3_CC2E3C83D805">Datavalidering!$Y$53</definedName>
    <definedName name="BKM_2B0D0393_38C1_4802_88F7_FA13B2733B64">Datavalidering!$U$277</definedName>
    <definedName name="BKM_2B7D622D_4966_471B_BF4B_184E8C57BDA6">Datavalidering!$Y$66</definedName>
    <definedName name="BKM_2C91F8BD_1556_4368_B753_1E334D67B6DE">Datavalidering!$U$327</definedName>
    <definedName name="BKM_2CFCE1E1_2B10_4ABD_AB3E_3A7AD575195F">Datavalidering!$U$293</definedName>
    <definedName name="BKM_2D81119E_C754_411E_8D49_8CA3AF87F581">Datavalidering!$Y$172</definedName>
    <definedName name="BKM_2DA00EFE_96C9_4150_B0B3_7BD6BD0F3F7D">Datavalidering!$U$119</definedName>
    <definedName name="BKM_2E6B5218_29C1_4633_8ABF_E503B41781C6">Datavalidering!$U$200</definedName>
    <definedName name="BKM_2EFD69EE_8801_4F4B_98B8_B1ECA51E4CD3">Datavalidering!$Y$131</definedName>
    <definedName name="BKM_2AA2A155_D182_4404_A891_6D02C6D798CA">Datavalidering!$U$246</definedName>
    <definedName name="BKM_306F3A5F_BB03_44EA_8BEC_A3B83CDA93E6">Datavalidering!$U$177</definedName>
    <definedName name="BKM_31305BE9_A77F_4270_87A7_677E91F77BC7">Datavalidering!$Y$111</definedName>
    <definedName name="BKM_315EF0A9_907B_40AC_A69D_588B38EC802F">Datavalidering!$U$134</definedName>
    <definedName name="BKM_31A90951_813B_4E6D_900F_C74B1EDDF1F2">Datavalidering!$U$308</definedName>
    <definedName name="BKM_31ED437F_39E5_4AA1_A88D_4D1E2320A682">Datavalidering!$Y$58</definedName>
    <definedName name="BKM_32000968_2E32_4377_85DC_A66F92903E8B">Datavalidering!$Y$122</definedName>
    <definedName name="BKM_34B79747_1A54_4514_B4B1_5AD157BAF1A7">Datavalidering!$U$333</definedName>
    <definedName name="BKM_357FED20_9AF5_48F4_BAA3_A3D5E74817E4">Datavalidering!$U$315</definedName>
    <definedName name="BKM_36524BBA_6EA7_4544_BCCC_4FB10AFE4256">Datavalidering!$U$279</definedName>
    <definedName name="BKM_3659546F_85CD_4F0B_8A0C_6B2C46C65B83">Datavalidering!$Y$89</definedName>
    <definedName name="BKM_38796958_72E6_4653_93FD_4537BB73F894">Datavalidering!$U$70</definedName>
    <definedName name="BKM_38A7E898_C3AB_41F6_944E_3DF1076DF278">Datavalidering!$U$81</definedName>
    <definedName name="BKM_38B75E88_FFA7_4C45_A8AC_99F9C2DC8947">Datavalidering!$U$86</definedName>
    <definedName name="BKM_39DF5F6C_E96E_4A6F_B4B7_65E8C7B01737">Datavalidering!$U$286</definedName>
    <definedName name="BKM_3A07207F_1E72_4B6C_87FA_C2D4448D8DCD">Datavalidering!$Y$159</definedName>
    <definedName name="BKM_3A7890DA_D82C_4D20_A522_BA90362BE451">Datavalidering!#REF!</definedName>
    <definedName name="BKM_3AC62364_82F9_49CA_A7FB_53E4779DE565">Datavalidering!$U$163</definedName>
    <definedName name="BKM_3B217DF7_9433_44C7_9B70_0ABA2C080E98">Datavalidering!$U$51</definedName>
    <definedName name="BKM_3B3763B3_88CD_4654_9A15_41F933AE6F7C">Datavalidering!$U$159</definedName>
    <definedName name="BKM_3C5E35D0_66D6_43CA_8206_A331CE1E83DC">Datavalidering!$U$161</definedName>
    <definedName name="BKM_3D0A68EB_D1D7_4009_B43C_B13645658BB3">Datavalidering!$U$265</definedName>
    <definedName name="BKM_3DDBE5AB_1644_4290_91ED_3929546F2F9A">Datavalidering!#REF!</definedName>
    <definedName name="BKM_3DF4E27D_A985_4FA3_8CF9_85E4F990655F">Datavalidering!$U$341</definedName>
    <definedName name="BKM_3E34BE2E_F6C6_4639_AD62_122F54678D2E">Datavalidering!$Y$201</definedName>
    <definedName name="BKM_3EEBBC79_235E_4E7C_8461_110674424F5A">Datavalidering!$U$104</definedName>
    <definedName name="BKM_3EED3864_6DFF_4A70_ACD6_5167610312CC">Datavalidering!$Y$144</definedName>
    <definedName name="BKM_3EAA94F2_AF95_4730_BFE2_A6713D71E760">Datavalidering!$U$72</definedName>
    <definedName name="BKM_3F0EBDFD_FE48_426C_B3FC_8EFA614D4B26">Datavalidering!$U$213</definedName>
    <definedName name="BKM_3F31BD0B_3EC4_4ED1_9C47_0B8BD9798CD5">Datavalidering!$Y$211</definedName>
    <definedName name="BKM_3F3A1C2B_32FF_48AA_8DF6_08C1EA11C12F">Datavalidering!$U$304</definedName>
    <definedName name="BKM_3F6067E1_57C9_4566_A8E0_25E2558E4D76">Datavalidering!$U$178</definedName>
    <definedName name="BKM_3FAD1D42_A4A1_4967_BD83_D033AF15B733">Datavalidering!$Y$90</definedName>
    <definedName name="BKM_3FBCD049_5251_44FE_9957_06A1ED8F434A">Datavalidering!$U$124</definedName>
    <definedName name="BKM_4033C334_60D0_498C_9E14_D799B4B8A8CF">Datavalidering!$U$235</definedName>
    <definedName name="BKM_4098C379_354F_42D0_8B2D_A8EB119913B1">Datavalidering!$Y$93</definedName>
    <definedName name="BKM_40B65C80_93F6_4340_A172_4441FF253F5F">Datavalidering!$Y$74</definedName>
    <definedName name="BKM_4133D0FF_F6EA_4E83_9470_124061AE626A">Datavalidering!$Y$176</definedName>
    <definedName name="BKM_41FBDA01_6F91_4F05_8F5E_1E8AA4646FC8">Datavalidering!$U$270</definedName>
    <definedName name="BKM_426D5B17_C56D_4BB2_AC29_4B4F6D821794">Datavalidering!$Y$145</definedName>
    <definedName name="BKM_437EB897_0924_41A1_8C95_611761E9B656">Datavalidering!$U$97</definedName>
    <definedName name="BKM_4394CA82_431D_4DDD_A4E8_B6E6507F74B5">Datavalidering!$Y$130</definedName>
    <definedName name="BKM_45220F0A_61C4_4429_892F_3DF46D898457">Datavalidering!$Y$97</definedName>
    <definedName name="BKM_457341B4_3BFD_4530_A633_5B949FB170CB">Datavalidering!$Y$110</definedName>
    <definedName name="BKM_45E59ED4_BCFC_47AE_8817_096F92BFB2B7">Datavalidering!$U$203</definedName>
    <definedName name="BKM_45E731D4_AAFD_4904_93C1_4712CFD1856B">Datavalidering!$Y$115</definedName>
    <definedName name="BKM_466E78BD_56C7_41EC_8E35_1AE7BA27F4F0">Datavalidering!$U$229</definedName>
    <definedName name="BKM_46DEC9F5_DE2D_485F_8FE2_ED57961D8DF9">Datavalidering!$U$227</definedName>
    <definedName name="BKM_4746795F_996D_4551_8BD7_6708A09C5C9A">Datavalidering!$U$76</definedName>
    <definedName name="BKM_47AB66A7_DC45_479E_9B2D_4096DCA2E8AF">Datavalidering!$Y$51</definedName>
    <definedName name="BKM_48794E2D_B26E_461E_B72B_98220A07F93C">Datavalidering!$U$168</definedName>
    <definedName name="BKM_49339DE6_4A68_42AE_B14F_1E50E2EC4692">Datavalidering!$Y$165</definedName>
    <definedName name="BKM_49D46239_86DD_4618_96C4_3600E9E4A985">Datavalidering!$Y$85</definedName>
    <definedName name="BKM_4A5DA271_186C_45CB_A1A2_74DE9E1323F6">Datavalidering!$U$239</definedName>
    <definedName name="BKM_4ABB4A80_11FE_41FB_B5A4_29CFD230135A">Datavalidering!$U$139</definedName>
    <definedName name="BKM_4B1E27F6_2A04_4546_846D_EC5C2B1EF672">Datavalidering!$U$340</definedName>
    <definedName name="BKM_4B312AED_ED98_48CC_9900_9680D6D86C1E">Datavalidering!$Y$169</definedName>
    <definedName name="BKM_4B4E5162_D768_49EB_A676_A581A402F43B">Datavalidering!$U$219</definedName>
    <definedName name="BKM_4C223C6C_409B_4AF7_9AC2_CE661AA76135">Datavalidering!$U$184</definedName>
    <definedName name="BKM_4CD3E83B_8974_4400_B4DA_77AAA3ED0585">Datavalidering!$Y$180</definedName>
    <definedName name="BKM_4F08DB08_312D_4672_9D6C_90C33EA3DF3D">Datavalidering!$U$215</definedName>
    <definedName name="BKM_4F1DF191_6854_4175_82E0_266D7984B191">Datavalidering!$Y$191</definedName>
    <definedName name="BKM_4F585716_AAF0_4B2F_AA93_84FCAF698A61">Datavalidering!$Y$104</definedName>
    <definedName name="BKM_4FB503C7_696D_42DD_8064_15C6FAC92960">Datavalidering!$U$305</definedName>
    <definedName name="BKM_4FBC6FEA_98B3_4ECA_8A1F_8855384682DD">Datavalidering!$Y$149</definedName>
    <definedName name="BKM_4FFE3C9F_15F7_4E45_81EA_0C8DBBA10EE5">Datavalidering!$U$73</definedName>
    <definedName name="BKM_50CE75CD_387D_497A_BBD0_98891C14CB71">Datavalidering!$Y$139</definedName>
    <definedName name="BKM_51597DC4_B20D_4884_BCD1_4C9D8ECD4BA0">Datavalidering!$Y$69</definedName>
    <definedName name="BKM_519FAD11_F861_4C45_A681_AC3829678889">Datavalidering!$Y$141</definedName>
    <definedName name="BKM_521AFAAA_6EF2_4C05_9D32_FBFA33631A02">Datavalidering!$Y$206</definedName>
    <definedName name="BKM_5268DBF6_47C0_42AD_B516_2C412065B3AC">Datavalidering!$Y$154</definedName>
    <definedName name="BKM_5344E6C4_D770_4772_AE46_5877D9BD8030">Datavalidering!$U$326</definedName>
    <definedName name="BKM_543F43CB_D066_4B18_9C09_1A5D35801F26">Datavalidering!$U$322</definedName>
    <definedName name="BKM_54444446_ADFE_4A60_BACF_2574D44A5B70">Datavalidering!$Y$132</definedName>
    <definedName name="BKM_5444B2DD_BB3F_44E5_874D_DE2C1F022502">Datavalidering!$Y$86</definedName>
    <definedName name="BKM_5514CA88_FD0A_4434_A0FD_E1B9F110DFE3">Datavalidering!$U$85</definedName>
    <definedName name="BKM_55F780D6_EC2E_4B70_9A36_DA1A8049E752">Datavalidering!$U$358</definedName>
    <definedName name="BKM_5604A8F5_FCE0_4EBF_9375_09E5BB292E01">Datavalidering!$U$280</definedName>
    <definedName name="BKM_56B975EC_C17B_4BF5_8649_204E658E1821">Datavalidering!$U$126</definedName>
    <definedName name="BKM_573B6B5B_A212_4AEC_AA27_FA3F842AE068">Datavalidering!$U$202</definedName>
    <definedName name="BKM_57C3510A_92E1_4809_93FE_B0A6AE78EF80">Datavalidering!$U$185</definedName>
    <definedName name="BKM_59286BE1_22F1_44D6_89BE_88DD472ABF37">Datavalidering!$U$153</definedName>
    <definedName name="BKM_5A468580_1780_4AD3_8C71_C0604B390F69">Datavalidering!$U$252</definedName>
    <definedName name="BKM_5AFC08E3_DF96_43CD_8F45_78D3C75C4798">Datavalidering!$U$289</definedName>
    <definedName name="BKM_5AFD2C3B_7313_4DD6_AF66_F947A20128E6">Datavalidering!$U$238</definedName>
    <definedName name="BKM_5B24574D_B4CF_4D85_BC83_C4F5ED6F6B56">Datavalidering!$U$167</definedName>
    <definedName name="BKM_5BE6F6B0_1F2D_42C4_AB1B_0560802D26B4">Datavalidering!$Y$197</definedName>
    <definedName name="BKM_5D16D13B_B5F9_40EE_8D0A_E2D8D21256B1">Datavalidering!$U$282</definedName>
    <definedName name="BKM_5F64A2FA_9ABF_4D4C_A7F7_0AFBB23224C6">Datavalidering!$U$64</definedName>
    <definedName name="BKM_5FAD7E34_E8D0_465E_9AFD_E732CD40FD2A">Datavalidering!$Y$151</definedName>
    <definedName name="BKM_60295F4C_7F53_4614_9688_2DA043AEA3A2">Datavalidering!$Y$142</definedName>
    <definedName name="BKM_6073ABFB_081E_4988_B80F_D35F15419CD8">Datavalidering!#REF!</definedName>
    <definedName name="BKM_63136FD3_D67C_4441_BEEF_C6DC9740D378">Datavalidering!$U$338</definedName>
    <definedName name="BKM_6438E1C2_B451_48EC_B039_DDB45682FA47">Datavalidering!$Y$102</definedName>
    <definedName name="BKM_645D33AB_8833_49E3_A1CE_090AFBEE02AA">Datavalidering!$U$180</definedName>
    <definedName name="BKM_64C97AA9_4267_4170_9880_0AF8F07A320D">Datavalidering!$Y$164</definedName>
    <definedName name="BKM_653C4791_C25C_4893_A7FF_8F8FC693B08D">Datavalidering!$U$257</definedName>
    <definedName name="BKM_654AA6D6_3A9C_4455_92B0_6B50F0C689BE">Datavalidering!$U$100</definedName>
    <definedName name="BKM_66455533_AEA7_4676_8A26_18BE4F42B416">Datavalidering!$U$66</definedName>
    <definedName name="BKM_6682FBBA_7AA3_44B4_B2F1_A68EECAA9CAE">Datavalidering!$U$287</definedName>
    <definedName name="BKM_668376D7_9CAF_42F1_9E67_81B742537804">Datavalidering!$U$298</definedName>
    <definedName name="BKM_6908EEF3_2848_4835_8C45_46C75C36611D">Datavalidering!$U$228</definedName>
    <definedName name="BKM_6A065245_133B_4A44_BA01_6E2AE2873321">Datavalidering!$U$278</definedName>
    <definedName name="BKM_6A698A14_F9EB_4351_9BC8_E02D1F4F17AE">Datavalidering!$U$225</definedName>
    <definedName name="BKM_6A7F36E3_63EA_4540_9D5A_2B07942434CD">Datavalidering!$U$78</definedName>
    <definedName name="BKM_6ADD9C2D_DF3E_486A_A199_3A90E873C206">Datavalidering!$Y$72</definedName>
    <definedName name="BKM_6AE64F6B_D231_40CC_A071_83383B72DA90">Datavalidering!$U$117</definedName>
    <definedName name="BKM_6B3CF41D_15F7_451F_BE2A_CF9DE3615295">Datavalidering!#REF!</definedName>
    <definedName name="BKM_6BB5181C_A20F_4949_92E4_38FC0DE07B01">Datavalidering!$U$122</definedName>
    <definedName name="BKM_6C2718AA_A0B0_4E65_BE44_FCA20EED4097">Datavalidering!$U$121</definedName>
    <definedName name="BKM_6C71FAE6_4202_4B42_B7AC_B32978A12C33">Datavalidering!$U$303</definedName>
    <definedName name="BKM_6D6F049E_E194_49BA_9A61_984AC2113CFC">Datavalidering!$U$172</definedName>
    <definedName name="BKM_6DEAF071_D566_4A9F_823C_FEE9C7633B99">Datavalidering!$U$75</definedName>
    <definedName name="BKM_6E379ECB_014E_4204_86B9_236D26A9E0B2">Datavalidering!$Y$76</definedName>
    <definedName name="BKM_6E5ED56E_B822_4728_8BBF_381059F4C540">Datavalidering!#REF!</definedName>
    <definedName name="BKM_7033270C_F8DD_4D21_A828_D159B7D52DE1">Datavalidering!$U$250</definedName>
    <definedName name="BKM_7109249D_24EC_4372_A2ED_51357079D45C">Datavalidering!$U$108</definedName>
    <definedName name="BKM_71482586_3617_4E5E_B5F4_A003247F2EAB">Datavalidering!$Y$190</definedName>
    <definedName name="BKM_715C5C18_3FF6_471D_849A_084CA11E9352">Datavalidering!$Y$73</definedName>
    <definedName name="BKM_715EC52C_17D9_416C_9502_D0A225D0364E">Datavalidering!$Y$114</definedName>
    <definedName name="BKM_72134D1A_2CF1_479A_B579_7C7771421795">Datavalidering!$U$216</definedName>
    <definedName name="BKM_7250BDBB_D8B3_4A50_A2EE_35143876C7D2">Datavalidering!$U$133</definedName>
    <definedName name="BKM_727091D5_FA34_44E9_BD7F_61762E3174FC">Datavalidering!$U$149</definedName>
    <definedName name="BKM_72AED3B1_86F2_4492_8C93_CD9265876890">Datavalidering!$Y$155</definedName>
    <definedName name="BKM_73B90E83_48B0_4197_BE65_AFD840139D8A">Datavalidering!$U$57</definedName>
    <definedName name="BKM_740DAC6E_38B2_4692_B4FA_349C08E32D78">Datavalidering!$Y$82</definedName>
    <definedName name="BKM_749BD7B9_F973_4C3A_ABDF_9B3B46612E38">Datavalidering!$U$218</definedName>
    <definedName name="BKM_76071EC3_84D6_4E40_8C32_8ACB024DC176">Datavalidering!$U$192</definedName>
    <definedName name="BKM_77A1E6FB_F1A1_409A_9E8C_3B10CC07D1D3">Datavalidering!$U$191</definedName>
    <definedName name="BKM_77A3F6E1_2023_4637_B418_226B88A82024">Datavalidering!$Y$138</definedName>
    <definedName name="BKM_77D6F297_261C_44A6_94CA_100A5470DF44">Datavalidering!$U$148</definedName>
    <definedName name="BKM_78524D14_8802_41AB_9E52_C1BF439A4FF9">Datavalidering!$Y$146</definedName>
    <definedName name="BKM_7A2C58DC_28F7_4012_964D_531CE9281DD0">Datavalidering!$U$339</definedName>
    <definedName name="BKM_7A5DBA16_2A04_4390_8392_C80341B49E72">Datavalidering!$U$195</definedName>
    <definedName name="BKM_7ABDD618_C247_43F5_BAAA_17F07344D645">Datavalidering!$U$157</definedName>
    <definedName name="BKM_7AE22D93_CB0B_4961_920A_C10280CC4C49">Datavalidering!$U$285</definedName>
    <definedName name="BKM_7B5D90C4_D5DD_4F9A_9DCF_B87CA96F20AE">Datavalidering!$U$68</definedName>
    <definedName name="BKM_7C7EB44E_FDE2_4F19_AEE1_BE4B481939D1">Datavalidering!$U$155</definedName>
    <definedName name="BKM_7D13497E_C332_4466_A319_7C60BF3CBA68">Datavalidering!$U$242</definedName>
    <definedName name="BKM_7E478808_5705_4D13_9DF8_E75FCB521435">Datavalidering!$U$197</definedName>
    <definedName name="BKM_7F2DFB49_4692_4F06_9C4C_BC91E51D27E6">Datavalidering!$U$115</definedName>
    <definedName name="BKM_801A2803_888E_4F1C_B926_76D426474AF6">Datavalidering!$U$127</definedName>
    <definedName name="BKM_803915D2_4C44_4005_9E64_1809E804025F">Datavalidering!$U$297</definedName>
    <definedName name="BKM_80F427FA_B67E_4650_87F8_6E53A18D571C">Datavalidering!$U$243</definedName>
    <definedName name="BKM_8131F9C7_8C80_4708_AB0B_DC8514B50CD3">Datavalidering!$U$129</definedName>
    <definedName name="BKM_814326A1_ED52_43B2_A355_41A6BD11E1DB">Datavalidering!$Y$157</definedName>
    <definedName name="BKM_814E9CB8_C60C_4B59_A327_EE6DB9A06F19">Datavalidering!$U$273</definedName>
    <definedName name="BKM_818BFECF_E307_4129_B557_594D689D0E5C">Datavalidering!$Y$175</definedName>
    <definedName name="BKM_826A92D0_32EF_470D_A94F_50DD2BB41A5C">Datavalidering!$U$190</definedName>
    <definedName name="BKM_828BE56C_4D16_4DCB_B94A_198B25D290FA">Datavalidering!$Y$207</definedName>
    <definedName name="BKM_83381EA6_9FEF_45DF_AF9D_75C8D0790265">Datavalidering!$U$113</definedName>
    <definedName name="BKM_8354FB86_E756_4B0D_92A9_88831D3A120D">Datavalidering!$U$176</definedName>
    <definedName name="BKM_837AD9A0_6553_49BC_B1F4_2A00C43B8EEE">Datavalidering!$Y$174</definedName>
    <definedName name="BKM_83DE3185_51F3_4C58_A25A_6DD566C18444">Datavalidering!$U$59</definedName>
    <definedName name="BKM_841E2384_48B7_4533_81E5_9B20BD518F21">Datavalidering!$U$292</definedName>
    <definedName name="BKM_8714AF48_6BAB_439D_8728_FF48F69FBA86">Datavalidering!$Y$117</definedName>
    <definedName name="BKM_873FA99D_1F5C_4961_9A61_67ED42F3ACB7">Datavalidering!$U$107</definedName>
    <definedName name="BKM_87A98844_10E4_4435_8BE4_9BB0F8A96AAD">Datavalidering!$U$275</definedName>
    <definedName name="BKM_89D6B06B_47CE_4927_95B1_F201479B3320">Datavalidering!$Y$133</definedName>
    <definedName name="BKM_8A6230BF_045F_4F85_845C_478F57C1C2F1">Datavalidering!$U$147</definedName>
    <definedName name="BKM_8A6A3B33_F212_4E38_A33B_C282FD782591">Datavalidering!$U$186</definedName>
    <definedName name="BKM_8B277BA8_4506_4993_B3E3_DB10B7BCA3A8">Datavalidering!$U$96</definedName>
    <definedName name="BKM_8B8567DE_8476_4C79_937F_5761B65E1337">Datavalidering!$U$130</definedName>
    <definedName name="BKM_8D00E011_96AF_4F2B_AF9A_55AE8F3353FB">Datavalidering!$U$212</definedName>
    <definedName name="BKM_8D6945E4_D305_4DA5_9750_EF3302938147">Datavalidering!$Y$173</definedName>
    <definedName name="BKM_8DDB46B8_3AC8_4384_9F3E_2358BC5ABF38">Datavalidering!$U$236</definedName>
    <definedName name="BKM_8DE4F7B0_E6B2_48EC_8517_825196F61229">Datavalidering!$U$50</definedName>
    <definedName name="BKM_8E804DEF_D554_497A_9146_74AFCA7F04AB">Datavalidering!$U$144</definedName>
    <definedName name="BKM_8F0697C2_2264_480A_B83E_6E03833C84AB">Datavalidering!$U$146</definedName>
    <definedName name="BKM_8F2DBA4E_25C0_4B49_BCCE_FC8F49EA3628">Datavalidering!$U$336</definedName>
    <definedName name="BKM_90BCF4C5_22F1_4083_A3EA_627CA3942DC9">Datavalidering!$U$53</definedName>
    <definedName name="BKM_90DF3E95_9046_405A_81F0_E68B08B47153">Datavalidering!$U$320</definedName>
    <definedName name="BKM_90F01EDD_CF8A_4A8C_BF93_4527BDEE8ECD">Datavalidering!$Y$88</definedName>
    <definedName name="BKM_9115F03F_F1D9_4681_84FC_8D8A79E5A1FE">Datavalidering!$Y$81</definedName>
    <definedName name="BKM_9152620F_8510_4302_8154_B73145470A75">Datavalidering!$Y$57</definedName>
    <definedName name="BKM_91950813_122A_4DCB_9AF6_A3FB3932C7BE">Datavalidering!$U$169</definedName>
    <definedName name="BKM_91B58263_DFE0_48B0_BEBB_5D2B13C1844E">Datavalidering!$Y$171</definedName>
    <definedName name="BKM_9266B031_C780_4009_BE1A_1C1002F73E12">Datavalidering!$U$101</definedName>
    <definedName name="BKM_93679BEC_DD37_45C2_A3F9_F489A5A137D3">Datavalidering!$Y$184</definedName>
    <definedName name="BKM_93F694D6_6A7C_4E97_9834_9BF696AD06AB">Datavalidering!$U$345</definedName>
    <definedName name="BKM_94498A99_14BF_4CE0_8945_F233D8178ED1">Datavalidering!$U$132</definedName>
    <definedName name="BKM_94BEC042_D766_4889_BB61_2456E14462D3">Datavalidering!$U$344</definedName>
    <definedName name="BKM_953E3B1D_E64D_4F88_A6F8_F0DB0ED186D4">Datavalidering!$Y$56</definedName>
    <definedName name="BKM_9571F8D1_90F4_4297_9E1F_5F25132A3455">Datavalidering!$U$151</definedName>
    <definedName name="BKM_962A4C5C_99B1_4AE9_8D7E_990E041810EA">Datavalidering!$U$84</definedName>
    <definedName name="BKM_96AA7DEF_6932_46FA_98D0_20EB2091BF8F">Datavalidering!$U$136</definedName>
    <definedName name="BKM_974E4200_61E8_4023_ACF6_C6C2F1C28666">Datavalidering!$U$244</definedName>
    <definedName name="BKM_97A63ACE_3A95_472D_B50F_820782993619">Datavalidering!$U$91</definedName>
    <definedName name="BKM_9A9BD004_F9FA_462B_9035_0A0F26D7F7A8">Datavalidering!$U$294</definedName>
    <definedName name="BKM_9B49D32A_8DD7_4F08_8F2F_1C90A04BDB30">Datavalidering!$U$258</definedName>
    <definedName name="BKM_9C265C81_4C31_4699_814D_330BE155C85D">Datavalidering!$Y$160</definedName>
    <definedName name="BKM_9C6DCAB7_921C_4440_A36B_E777E5B99153">Datavalidering!$U$110</definedName>
    <definedName name="BKM_9C8A3EE1_3B66_4051_A500_85256BCB331D">Datavalidering!$U$221</definedName>
    <definedName name="BKM_9E703A2C_FD35_4D34_B8A6_4B8FBC28CF4D">Datavalidering!$Y$189</definedName>
    <definedName name="BKM_9F6628BE_419D_48CF_A1B5_447EF3B0BA62">Datavalidering!$U$71</definedName>
    <definedName name="BKM_A085E202_4F83_4D13_BFCB_A78975F260B1">Datavalidering!$Y$106</definedName>
    <definedName name="BKM_A2732BEE_D94D_42A1_93C7_7E3668412E87">Datavalidering!$Y$177</definedName>
    <definedName name="BKM_A304D34D_AAD2_4AF7_884A_DAA1C9D7467E">Datavalidering!$Y$105</definedName>
    <definedName name="BKM_A396B20F_8CDD_4D1B_BAF1_5686ACD50306">Datavalidering!$U$224</definedName>
    <definedName name="BKM_A3C59673_33A4_4875_8722_25BB8428B06F">Datavalidering!$Y$195</definedName>
    <definedName name="BKM_A5349882_539B_4B72_9C65_3CF55B40AFC3">Datavalidering!$Y$147</definedName>
    <definedName name="BKM_A54F55DC_E5FC_4340_803F_D22817626DB2">Datavalidering!$U$232</definedName>
    <definedName name="BKM_A58FCB00_5EE1_434B_807D_D5EF24F32205">Datavalidering!$U$271</definedName>
    <definedName name="BKM_A5997B69_C9CB_472E_9764_F2D6F1D2E333">Datavalidering!$Y$98</definedName>
    <definedName name="BKM_A63C4BD3_497D_46E7_9690_A42E0A672AEF">Datavalidering!$U$312</definedName>
    <definedName name="BKM_A68ECAF1_B536_461F_8929_29830F079433">Datavalidering!$Y$205</definedName>
    <definedName name="BKM_A770BC86_1A0E_4571_9E6D_C0FFABFDDFDA">Datavalidering!$Y$167</definedName>
    <definedName name="BKM_A8182767_F414_41D7_A3E3_F43EDD788B3A">Datavalidering!$U$323</definedName>
    <definedName name="BKM_A8660EBC_E04D_4917_B9FB_7D1EBD32B073">Datavalidering!$U$347</definedName>
    <definedName name="BKM_A87D6CC6_36C8_4AF7_848F_583B46099255">Datavalidering!$U$201</definedName>
    <definedName name="BKM_A955C828_11A4_4680_8C33_B642057A0095">Datavalidering!$U$173</definedName>
    <definedName name="BKM_AB7B7E8C_E9EB_49F6_B0E6_45908B6797D5">Datavalidering!$Y$187</definedName>
    <definedName name="BKM_ABD7B524_BA18_4DC7_9544_DB8820FFFB7E">Datavalidering!$U$102</definedName>
    <definedName name="BKM_ABEA7C36_B90F_48AB_B15D_7513C3FC22BB">Datavalidering!$U$135</definedName>
    <definedName name="BKM_AC04608E_18B7_47CF_B6AC_F556492696C9">Datavalidering!$U$310</definedName>
    <definedName name="BKM_AC77DDF2_CBF2_4865_A28E_119813F4FD03">Datavalidering!$Y$92</definedName>
    <definedName name="BKM_AE4BF821_30D5_4DA6_BC8F_9C756D189D8C">Datavalidering!$Y$75</definedName>
    <definedName name="BKM_AE9D8F3D_0CEF_4BF6_8478_D1799D748F09">Datavalidering!$Y$121</definedName>
    <definedName name="BKM_AE9EDBB5_0953_4E04_9A7D_CE98A7244C02">Datavalidering!$U$314</definedName>
    <definedName name="BKM_AEC51384_C96A_4762_9C4B_6EB091CAF767">Datavalidering!$U$290</definedName>
    <definedName name="BKM_AECE2B80_CC99_4AD9_9500_12DAF7252BD1">Datavalidering!$Y$168</definedName>
    <definedName name="BKM_B02FD853_98F4_431E_B1BB_B247AB66E574">Datavalidering!$Y$91</definedName>
    <definedName name="BKM_B0EF41B6_A52A_4807_8290_EAC3F6E2C7AA">Datavalidering!$U$223</definedName>
    <definedName name="BKM_B14FF6A8_5C91_49E0_8716_78928C0ECB1E">Datavalidering!$U$256</definedName>
    <definedName name="BKM_B1CA6C02_C93D_4EB5_A35F_395C282B0F73">Datavalidering!$U$274</definedName>
    <definedName name="BKM_B243FF03_1338_4516_8A31_C909E3E9E499">Datavalidering!$U$269</definedName>
    <definedName name="BKM_B41EC5AE_C32D_4D3A_9FD4_66FD3438ED0C">Datavalidering!$U$300</definedName>
    <definedName name="BKM_B42691EF_1772_491F_92E2_4F610C9431DE">Datavalidering!$U$324</definedName>
    <definedName name="BKM_B46288CC_7359_4B0F_B3B0_0AAED5185F52">Datavalidering!$Y$68</definedName>
    <definedName name="BKM_B5C0D82C_0B39_4821_B69B_7018591FE186">Datavalidering!$Y$181</definedName>
    <definedName name="BKM_B6D78202_A06F_4659_BB79_1C859B43622F">Datavalidering!$U$291</definedName>
    <definedName name="BKM_B70CECF4_06C6_4CBD_AEFA_1E8D8220072D">Datavalidering!$U$128</definedName>
    <definedName name="BKM_B81E5B98_3DE1_4D01_A8A8_9BB7B1921CCB">Datavalidering!$U$199</definedName>
    <definedName name="BKM_B8BC91B0_E5FA_401E_A028_55452A8BFED8">Datavalidering!$Y$55</definedName>
    <definedName name="BKM_B99A5482_F131_46FF_B2D1_756E14E9F1CE">Datavalidering!$Y$108</definedName>
    <definedName name="BKM_B9D4EC46_9B62_4823_844A_3CD5FE8D8722">Datavalidering!$Y$125</definedName>
    <definedName name="BKM_BB9347F0_16FE_419A_B717_B2BD28C24DCD">Datavalidering!$U$262</definedName>
    <definedName name="BKM_BDE0A78B_89CA_4D28_BCB4_2BC54BF8A859">Datavalidering!$Y$124</definedName>
    <definedName name="BKM_BE07BFA3_A28B_4E9B_ABA6_97AAF5989A3B">Datavalidering!$Y$166</definedName>
    <definedName name="BKM_BEB055C4_6AC7_46B5_A239_6700DB414F84">Datavalidering!$U$83</definedName>
    <definedName name="BKM_BEEDC869_76F9_4456_A190_03D6229B2E0B">Datavalidering!$Y$194</definedName>
    <definedName name="BKM_BF5927FD_4879_4D83_96D1_3E92E2CAD1C6">Datavalidering!$U$328</definedName>
    <definedName name="BKM_BFA23CDB_EB72_4B59_B0E6_E105091BF330">Datavalidering!$U$114</definedName>
    <definedName name="BKM_C07387C3_E9DC_49E8_AB5D_955F4896653E">Datavalidering!#REF!</definedName>
    <definedName name="BKM_C0E22F68_63F2_45A2_A61B_C32A5657DB9B">Datavalidering!$Y$87</definedName>
    <definedName name="BKM_C108B3E9_E538_4223_87F9_C6549A3B072D">Datavalidering!$Y$161</definedName>
    <definedName name="BKM_C16F4BA3_B070_40EB_8ED4_F5D605934830">Datavalidering!$U$302</definedName>
    <definedName name="BKM_C246AA53_ACDA_4057_AC59_B51AAF0B7CA1">Datavalidering!$Y$179</definedName>
    <definedName name="BKM_C3757196_BAED_4007_8012_3018950067D3">Datavalidering!$U$264</definedName>
    <definedName name="BKM_C3C9133E_1762_4252_82C1_0078D1229CE3">Datavalidering!$Y$183</definedName>
    <definedName name="BKM_C3CB1D7A_3BBB_4394_B1B5_2FA224AEC33A">Datavalidering!$U$138</definedName>
    <definedName name="BKM_C3D27296_75D9_4BBD_8919_6BF86AC6E658">Datavalidering!$U$150</definedName>
    <definedName name="BKM_C3F670BA_D91B_4659_85B3_56B99FD327A5">Datavalidering!$U$112</definedName>
    <definedName name="BKM_C4EC81D2_2D1A_4725_B77B_75DF71510928">Datavalidering!$U$183</definedName>
    <definedName name="BKM_C6DD7520_8EEC_47A2_8DD3_8452AD28F7BB">Datavalidering!$Y$99</definedName>
    <definedName name="BKM_C8C6F75A_A707_4DD1_A0C4_09253741F96F">Datavalidering!$Y$65</definedName>
    <definedName name="BKM_C91A388B_87AB_4792_B3C5_D0CC95A8081D">Datavalidering!$U$90</definedName>
    <definedName name="BKM_CA24959B_7439_4098_9F1C_50671D067CD8">Datavalidering!$U$116</definedName>
    <definedName name="BKM_CA6EAE2B_1C5A_4338_AE60_41CF07E9427F">Datavalidering!$U$254</definedName>
    <definedName name="BKM_CA866AB3_5D10_4903_A45B_8944533C5B97">Datavalidering!$U$187</definedName>
    <definedName name="BKM_CABAA5B9_F3E4_474A_9FB3_FF7C3B3CFA19">Datavalidering!$U$74</definedName>
    <definedName name="BKM_CAC34C56_A52D_49F3_B14E_A9E07120C61C">Datavalidering!$U$156</definedName>
    <definedName name="BKM_CB074E68_58E5_4AB7_9D3B_2586E189BFE4">Datavalidering!$U$204</definedName>
    <definedName name="BKM_CB208855_1199_47EB_83CA_25FF2D4302B4">Datavalidering!$Y$78</definedName>
    <definedName name="BKM_CBB24BC2_52A3_4EFB_AB37_1E01A0280B88">Datavalidering!$Y$50</definedName>
    <definedName name="BKM_CC7DCF6E_452D_4CE3_B9AB_68A1D100A947">Datavalidering!$Y$198</definedName>
    <definedName name="BKM_CCBA18D8_EBCB_4110_9BEF_90431425E0B4">Datavalidering!$Y$178</definedName>
    <definedName name="BKM_CD07FA0D_5E9B_472E_8BF5_CEA4470EBFF8">Datavalidering!$U$125</definedName>
    <definedName name="BKM_CD3066C9_F59D_448A_908E_A5A8871A4F46">Datavalidering!$Y$54</definedName>
    <definedName name="BKM_CE0FC1A8_663A_4541_99A7_AA83B480FF98">Datavalidering!$U$79</definedName>
    <definedName name="BKM_CEA5959E_8EDE_48C4_BDC2_27A728A9BD6E">Datavalidering!$U$54</definedName>
    <definedName name="BKM_CF555BFE_C1F4_4733_82B6_E58B5B3B2FAB">Datavalidering!$Y$109</definedName>
    <definedName name="BKM_CFE2BF6E_EEB6_48BE_B212_BF93FB509D9B">Datavalidering!$Y$100</definedName>
    <definedName name="BKM_CFE5BC90_9AFF_46AE_9240_3BA399F8085F">Datavalidering!$U$166</definedName>
    <definedName name="BKM_D238540F_23EB_462F_992D_1BA5BCC3FBD4">Datavalidering!$Y$107</definedName>
    <definedName name="BKM_D31EB932_D228_48C6_A1C2_BA43E8EF3289">Datavalidering!$U$267</definedName>
    <definedName name="BKM_D383AA69_2097_4B32_AE70_468DAAD745C0">Datavalidering!$U$208</definedName>
    <definedName name="BKM_D4618774_0194_498C_A66B_44681F104CEA">Datavalidering!$Y$64</definedName>
    <definedName name="BKM_D4F3E13B_7A4F_40E7_8167_9DB30BA1DA8B">Datavalidering!$Y$135</definedName>
    <definedName name="BKM_D541D57C_F056_4A6C_BFB8_5AD1BB6BDFCB">Datavalidering!$Y$203</definedName>
    <definedName name="BKM_D590A86D_AD38_4BE6_89CB_895C3C1194A2">Datavalidering!$U$171</definedName>
    <definedName name="BKM_D5B9170F_4623_43F0_9337_7238CCCC7AA9">Datavalidering!$Y$137</definedName>
    <definedName name="BKM_D5E6908F_00EC_4E05_B878_1FCAC298A43C">Datavalidering!$Y$128</definedName>
    <definedName name="BKM_D62EE1C0_E83C_41CC_ABD0_687DC3804064">Datavalidering!$U$87</definedName>
    <definedName name="BKM_D691370B_D347_4631_9D9C_5746720F3C54">Datavalidering!$U$205</definedName>
    <definedName name="BKM_D7412AAA_AD58_4677_8CF6_3E96BD0A95F7">Datavalidering!$Y$208</definedName>
    <definedName name="BKM_D86E6043_D7B2_4CDA_B508_E0E6D237C970">Datavalidering!$U$77</definedName>
    <definedName name="BKM_D8C8CD90_D095_4B81_BDF2_EF26EF27D00A">Datavalidering!$Y$113</definedName>
    <definedName name="BKM_D9C869D8_B665_4396_95FF_BEBFD5611267">Datavalidering!$Y$182</definedName>
    <definedName name="BKM_DAFCA6B0_14B9_4E2A_BF70_C691957B0FEC">Datavalidering!$U$230</definedName>
    <definedName name="BKM_DB94A8F1_94E7_4FC1_B29E_4723C3E23D55">Datavalidering!$U$62</definedName>
    <definedName name="BKM_DC08230B_8FBA_4E5D_8177_BB53CC820B1E">Datavalidering!$U$332</definedName>
    <definedName name="BKM_DC9F0D4B_BF54_4552_ADAB_1D8661083976">Datavalidering!$Y$134</definedName>
    <definedName name="BKM_DD9E5CE4_1B0D_4031_B70B_3FE7C90FD0FD">Datavalidering!$U$284</definedName>
    <definedName name="BKM_DE987539_600E_446C_AE4E_D3403C777727">Datavalidering!$U$334</definedName>
    <definedName name="BKM_DE9EB77E_07D9_4D83_BCA9_A31425BB115A">Datavalidering!$Y$143</definedName>
    <definedName name="BKM_DEAE5C83_4308_48EA_B8C7_48C9917C91B3">Datavalidering!$U$206</definedName>
    <definedName name="BKM_DEDCBBE7_97E6_453B_8E1C_7FC12708B627">Datavalidering!$U$220</definedName>
    <definedName name="BKM_DF096DB8_7251_48A4_8603_7C691B002587">Datavalidering!$U$181</definedName>
    <definedName name="BKM_DF0C2E22_07CD_4C6C_8206_A829145FCB0A">Datavalidering!$U$245</definedName>
    <definedName name="BKM_DF7F06B1_8581_4555_885E_FAE61BF26C80">Datavalidering!$Y$84</definedName>
    <definedName name="BKM_DFAA9FC4_B6F3_4DF8_BD8E_8D9958803899">Datavalidering!#REF!</definedName>
    <definedName name="BKM_E04F743F_2A2C_440E_9AA8_C81E28C9DA8B">Datavalidering!$U$335</definedName>
    <definedName name="BKM_E09A2F27_39F1_476D_AB51_8FECD689984A">Datavalidering!$U$307</definedName>
    <definedName name="BKM_E2A01E50_DC33_47B1_9037_339CA269B345">Datavalidering!$U$276</definedName>
    <definedName name="BKM_E2F3EC96_C580_4D1A_9295_B91415127999">Datavalidering!$Y$210</definedName>
    <definedName name="BKM_E3511A60_B6C8_45A4_91A4_75E4F1A99B54">Datavalidering!$U$299</definedName>
    <definedName name="BKM_E35FEE93_70D1_4D70_B780_79096AC97CBC">Datavalidering!$U$325</definedName>
    <definedName name="BKM_E382CE3C_4759_4D1D_AB16_EBFB024DB6B8">Datavalidering!$Y$52</definedName>
    <definedName name="BKM_E3F90E71_9DE1_4C52_8C82_87140B4A221E">Datavalidering!$U$143</definedName>
    <definedName name="BKM_E471D06F_80BA_4395_BD4B_D0E3B76A3B7C">Datavalidering!$Y$101</definedName>
    <definedName name="BKM_E4EE9C25_0758_4CF9_A77D_3F52E2458E06">Datavalidering!$Y$163</definedName>
    <definedName name="BKM_E5832F54_2437_40A2_8E01_EBEDE7E3A7EE">Datavalidering!$U$131</definedName>
    <definedName name="BKM_E5880BDB_94EC_4E5C_9694_4D44483C06AA">Datavalidering!$Y$70</definedName>
    <definedName name="BKM_E62932B4_0976_4534_9227_4E4116423D4F">Datavalidering!$U$182</definedName>
    <definedName name="BKM_E66178F7_FF4B_40DA_8F3C_088A42C797F5">Datavalidering!$U$309</definedName>
    <definedName name="BKM_E75C9B0A_7242_47E7_BF68_9D80FDF4DAD2">Datavalidering!$Y$152</definedName>
    <definedName name="BKM_E860D02D_FA36_451D_AAFA_891AAFA3A7A4">Datavalidering!$Y$96</definedName>
    <definedName name="BKM_E879193F_467A_4DE2_ACF6_24F1A2144D19">Datavalidering!$U$318</definedName>
    <definedName name="BKM_E9EE2250_A1D6_44E2_88E6_C85DA8F1BDFD">Datavalidering!$Y$196</definedName>
    <definedName name="BKM_EAB4BF84_0864_4E78_A598_62D8FEFC15FE">Datavalidering!$U$92</definedName>
    <definedName name="BKM_EC638093_BE80_40EF_8924_CD5E40509434">Datavalidering!$U$234</definedName>
    <definedName name="BKM_ECB30149_5CAB_4B87_9748_79AEBE8DE5F1">Datavalidering!$U$260</definedName>
    <definedName name="BKM_ECBF933A_AE73_4CFB_8219_4F2C23812DD3">Datavalidering!$U$140</definedName>
    <definedName name="BKM_ECC788B3_EAB3_4EC3_9448_DB6337D24287">Datavalidering!$Y$103</definedName>
    <definedName name="BKM_ECDF5E0D_C243_4FE3_8E00_55A6EDAA2B23">Datavalidering!$U$251</definedName>
    <definedName name="BKM_ECAAFD64_E2D1_48EE_B6D8_E6D7DE200D25">Datavalidering!$Y$200</definedName>
    <definedName name="BKM_ED6489E5_F30D_42B9_BEBB_2D1EFA3C0CB0">Datavalidering!$U$118</definedName>
    <definedName name="BKM_EE65E1AA_1651_4A87_B06F_089ADA3270F7">Datavalidering!$Y$192</definedName>
    <definedName name="BKM_EF397DB0_6420_44BF_A5A4_A49964951326">Datavalidering!$Y$71</definedName>
    <definedName name="BKM_EFE491A5_0D8E_4FA6_A0CD_9DC6D7B0FB39">Datavalidering!$U$321</definedName>
    <definedName name="BKM_F00D7F9B_DDD9_4441_B58C_010D4EFC5DC2">Datavalidering!$U$103</definedName>
    <definedName name="BKM_F12081F7_FF27_4B85_B905_7D6B09531B2D">Datavalidering!$U$346</definedName>
    <definedName name="BKM_F16DEA77_5F0C_42BA_95C2_54F9096C75B4">Datavalidering!$U$214</definedName>
    <definedName name="BKM_F2A765AE_D82D_4F73_9425_1271406FBC05">Datavalidering!$U$158</definedName>
    <definedName name="BKM_F348EA7D_D05D_424C_830B_DA8055FF2628">Datavalidering!$U$248</definedName>
    <definedName name="BKM_F3A5BDD2_CA62_4572_9858_798CD2FA0B00">Datavalidering!$U$194</definedName>
    <definedName name="BKM_F3C043C2_86AC_4AA5_AE4A_115B73AA0A6F">Datavalidering!$U$137</definedName>
    <definedName name="BKM_F43601CB_0923_48F2_84CA_E898899AF4BE">Datavalidering!$U$301</definedName>
    <definedName name="BKM_F4F964D6_6716_4B4B_8B5F_B19EE91BAA4C">Datavalidering!#REF!</definedName>
    <definedName name="BKM_F5EFB6AF_61FD_4213_B666_0DF21CE0D7CC">Datavalidering!$U$193</definedName>
    <definedName name="BKM_F6100954_648E_4AB0_9EAC_05E321FF0528">Datavalidering!$Y$150</definedName>
    <definedName name="BKM_F6B55A3F_3DAB_427F_BFC8_422541EBAA01">Datavalidering!$U$237</definedName>
    <definedName name="BKM_F70EE0EE_CC7D_4A88_A09C_53F004725152">Datavalidering!$U$296</definedName>
    <definedName name="BKM_F79BC176_C16A_4E73_9162_FD1F358326CF">Datavalidering!$Y$94</definedName>
    <definedName name="BKM_F80950BB_AC2B_4A28_B185_BE9FA53AB17A">Datavalidering!$U$272</definedName>
    <definedName name="BKM_F81D7813_57F4_4D4E_9B58_016CFB9CCB07">Datavalidering!$U$55</definedName>
    <definedName name="BKM_F8D4AB4C_F3F8_49E9_9C72_8B297560C14D">Datavalidering!$U$63</definedName>
    <definedName name="BKM_F94EE365_CA7C_43F2_A8C1_5E7BF4A5B50D">Datavalidering!$U$56</definedName>
    <definedName name="BKM_FAC9CEDB_6DF7_4088_B5D2_FBA365EBC480">Datavalidering!$U$319</definedName>
    <definedName name="BKM_FBE4F575_B9A9_450C_9FC2_5407CAC63926">Datavalidering!$U$241</definedName>
    <definedName name="BKM_FBF8427A_C1A2_4B21_8630_CAB14BEBEED1">Datavalidering!$U$316</definedName>
    <definedName name="BKM_FBFAE8BE_2B71_4611_98B5_F6E4652B4357">Datavalidering!$U$145</definedName>
    <definedName name="BKM_FC5365D1_87F5_4BAF_8875_AC52CE4337CF">Datavalidering!$U$58</definedName>
    <definedName name="BKM_FC866BA2_448B_4D05_A2AF_2F7489E93D77">Datavalidering!$U$255</definedName>
    <definedName name="BKM_FD0D4412_4621_4AB9_A98A_F239C84CEB6E">Datavalidering!$Y$193</definedName>
    <definedName name="BKM_FD67CF74_0B97_4303_B1E3_BD0E8AC4C4E4">Datavalidering!$U$52</definedName>
    <definedName name="BKM_FD8A8688_EBC3_441A_BD2A_CD53806B45D9">Datavalidering!$Y$67</definedName>
    <definedName name="BKM_FDFEB8ED_3840_4A88_B044_990CA3AAAA19">Datavalidering!$U$99</definedName>
    <definedName name="BKM_FF4C31D8_251F_438B_BC9D_919407D3AEDB">Datavalidering!$Y$204</definedName>
    <definedName name="BKM_FFA655B2_6E53_4341_BCD8_96B4F1A5277E">Datavalidering!$U$106</definedName>
    <definedName name="BKM_FFF67E3B_7A52_4D8F_BD01_C5B9B03A453F">Datavalidering!$U$259</definedName>
    <definedName name="BKM_AA067493_1AE0_41DC_81A4_6400D04E18EE">Datavalidering!$U$95</definedName>
    <definedName name="cpr">Vandrejournal!$B$2:$B$2</definedName>
    <definedName name="efternavn">Vandrejournal!$E$2:$E$2</definedName>
    <definedName name="fornavn">Vandrejournal!$C$2:$C$2</definedName>
    <definedName name="fostervand_snom">Datavalidering!$BO$2:$BP$5</definedName>
    <definedName name="janej">Datavalidering!$B$3:$B$4</definedName>
    <definedName name="køn">'SNOMED+ISO'!$B$117:$D$119</definedName>
    <definedName name="kønsnom">Datavalidering!$Q$3:$R$5</definedName>
    <definedName name="lande">'SNOMED+ISO'!$H$2:$H$250</definedName>
    <definedName name="landekoder">'SNOMED+ISO'!$H$1:$I$250</definedName>
    <definedName name="m_bruNit">Datavalidering!$Y$149:$AA$152</definedName>
    <definedName name="m_ervTil">Datavalidering!$Y$154:$AA$159</definedName>
    <definedName name="m_fostervand">Datavalidering!$Q$62:$S$64</definedName>
    <definedName name="m_fravær">Datavalidering!$U$241:$W$243</definedName>
    <definedName name="m_genetik">Datavalidering!$U$334:$W$338</definedName>
    <definedName name="m_htton">Datavalidering!$Y$161:$AA$163</definedName>
    <definedName name="m_konform">Datavalidering!$Y$165:$AA$166</definedName>
    <definedName name="m_mål">Datavalidering!$Q$48:$S$61</definedName>
    <definedName name="m_omsorg">Datavalidering!$Y$168:$AA$171</definedName>
    <definedName name="m_PET">Datavalidering!$Y$173:$AA$174</definedName>
    <definedName name="m_rygning">Datavalidering!$Y$176:$AA$184</definedName>
    <definedName name="m_stoffer">Datavalidering!$Y$186:$AA$190</definedName>
    <definedName name="m_ugedage">Datavalidering!$Y$205:$AA$211</definedName>
    <definedName name="m_univeau">Datavalidering!$Y$192:$AA$197</definedName>
    <definedName name="m_vandpibe">Datavalidering!$Y$199:$AA$200</definedName>
    <definedName name="m_ydelse">Datavalidering!$Y$202:$AA$203</definedName>
    <definedName name="marsal">Datavalidering!$D$41:$F$162</definedName>
    <definedName name="mellemnavn">Vandrejournal!$D$2:$D$2</definedName>
    <definedName name="ml_counter">Datavalidering!$AC$22:$AC$32</definedName>
    <definedName name="nterm">Vandrejournal!$C$9:$C$9</definedName>
    <definedName name="RM_kat">Datavalidering!$BD$3:$BE$7</definedName>
    <definedName name="snomed">'SNOMED+ISO'!$A$1:$E$447</definedName>
    <definedName name="snomed2">'SNOMED+ISO'!$B$1:$E$447</definedName>
    <definedName name="SO_kat">Datavalidering!$AV$3:$AW$36</definedName>
    <definedName name="sor_performer">Datavalidering!$AA$3:$AA$7</definedName>
    <definedName name="sprog">'SNOMED+ISO'!$J$1:$J$187</definedName>
    <definedName name="sprogkoder">'SNOMED+ISO'!$J$1:$K$187</definedName>
    <definedName name="svang_snom">Datavalidering!$U$48:$W$347</definedName>
    <definedName name="SVANGERSKABSJOURNAL___KLASSIFIKATIONSMOD">Datavalidering!#REF!</definedName>
    <definedName name="sygdom">Datavalidering!$AV$3:$AW$36</definedName>
    <definedName name="TO_kat">Datavalidering!$AT$3:$AU$16</definedName>
    <definedName name="ulga">Datavalidering!$R$40:$R$40</definedName>
    <definedName name="ultermin">Datavalidering!$R$39:$R$39</definedName>
    <definedName name="v_aftaler">Datavalidering!$K$23:$K$28</definedName>
    <definedName name="vand_snom">Datavalidering!$Y$48:$AA$211</definedName>
    <definedName name="VANDREJOURNAL__LOGISK_DATAMODEL">Datavalidering!$U$359</definedName>
    <definedName name="vj_counter">Datavalidering!$AE$22:$AE$27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36" i="4" l="1"/>
  <c r="S58" i="1"/>
  <c r="T58" i="1"/>
  <c r="U58" i="1"/>
  <c r="V58" i="1"/>
  <c r="W58" i="1"/>
  <c r="S51" i="1"/>
  <c r="T51" i="1"/>
  <c r="U51" i="1"/>
  <c r="V51" i="1"/>
  <c r="W51" i="1"/>
  <c r="R51" i="1"/>
  <c r="S526" i="4"/>
  <c r="V526" i="4" s="1"/>
  <c r="R526" i="4"/>
  <c r="U526" i="4" s="1"/>
  <c r="Q526" i="4"/>
  <c r="T526" i="4" s="1"/>
  <c r="S491" i="4"/>
  <c r="V491" i="4" s="1"/>
  <c r="R491" i="4"/>
  <c r="U491" i="4" s="1"/>
  <c r="Q491" i="4"/>
  <c r="T491" i="4" s="1"/>
  <c r="S456" i="4"/>
  <c r="V456" i="4" s="1"/>
  <c r="R456" i="4"/>
  <c r="U456" i="4" s="1"/>
  <c r="Q456" i="4"/>
  <c r="T456" i="4" s="1"/>
  <c r="S421" i="4"/>
  <c r="V421" i="4" s="1"/>
  <c r="R421" i="4"/>
  <c r="U421" i="4" s="1"/>
  <c r="Q421" i="4"/>
  <c r="T421" i="4" s="1"/>
  <c r="S386" i="4"/>
  <c r="V386" i="4" s="1"/>
  <c r="R386" i="4"/>
  <c r="U386" i="4" s="1"/>
  <c r="Q386" i="4"/>
  <c r="T386" i="4" s="1"/>
  <c r="S351" i="4"/>
  <c r="V351" i="4" s="1"/>
  <c r="R351" i="4"/>
  <c r="U351" i="4" s="1"/>
  <c r="Q351" i="4"/>
  <c r="T351" i="4" s="1"/>
  <c r="S316" i="4"/>
  <c r="V316" i="4" s="1"/>
  <c r="R316" i="4"/>
  <c r="U316" i="4" s="1"/>
  <c r="Q316" i="4"/>
  <c r="T316" i="4" s="1"/>
  <c r="S281" i="4"/>
  <c r="V281" i="4" s="1"/>
  <c r="R281" i="4"/>
  <c r="U281" i="4" s="1"/>
  <c r="Q281" i="4"/>
  <c r="T281" i="4" s="1"/>
  <c r="S246" i="4"/>
  <c r="V246" i="4" s="1"/>
  <c r="R246" i="4"/>
  <c r="U246" i="4" s="1"/>
  <c r="Q246" i="4"/>
  <c r="T246" i="4" s="1"/>
  <c r="S211" i="4"/>
  <c r="V211" i="4" s="1"/>
  <c r="R211" i="4"/>
  <c r="U211" i="4" s="1"/>
  <c r="Q211" i="4"/>
  <c r="T211" i="4" s="1"/>
  <c r="S176" i="4"/>
  <c r="V176" i="4" s="1"/>
  <c r="R176" i="4"/>
  <c r="U176" i="4" s="1"/>
  <c r="Q176" i="4"/>
  <c r="T176" i="4" s="1"/>
  <c r="S141" i="4"/>
  <c r="V141" i="4" s="1"/>
  <c r="R141" i="4"/>
  <c r="U141" i="4" s="1"/>
  <c r="Q141" i="4"/>
  <c r="T141" i="4" s="1"/>
  <c r="S106" i="4"/>
  <c r="V106" i="4" s="1"/>
  <c r="R106" i="4"/>
  <c r="U106" i="4" s="1"/>
  <c r="Q106" i="4"/>
  <c r="T106" i="4" s="1"/>
  <c r="S71" i="4"/>
  <c r="V71" i="4" s="1"/>
  <c r="R71" i="4"/>
  <c r="U71" i="4" s="1"/>
  <c r="Q71" i="4"/>
  <c r="T71" i="4" s="1"/>
  <c r="R36" i="4"/>
  <c r="S36" i="4"/>
  <c r="T36" i="4"/>
  <c r="F157" i="7"/>
  <c r="F447" i="7"/>
  <c r="F446" i="7"/>
  <c r="F445" i="7"/>
  <c r="F444" i="7"/>
  <c r="F443" i="7"/>
  <c r="F442" i="7"/>
  <c r="F441" i="7"/>
  <c r="F440" i="7"/>
  <c r="F439" i="7"/>
  <c r="F438" i="7"/>
  <c r="F437" i="7"/>
  <c r="F436" i="7"/>
  <c r="F435" i="7"/>
  <c r="F434" i="7"/>
  <c r="F433" i="7"/>
  <c r="F432" i="7"/>
  <c r="F431" i="7"/>
  <c r="F430" i="7"/>
  <c r="F429" i="7"/>
  <c r="F428" i="7"/>
  <c r="F427" i="7"/>
  <c r="F426" i="7"/>
  <c r="F425" i="7"/>
  <c r="F424" i="7"/>
  <c r="F423" i="7"/>
  <c r="F422" i="7"/>
  <c r="F421" i="7"/>
  <c r="F420" i="7"/>
  <c r="F419" i="7"/>
  <c r="F418" i="7"/>
  <c r="F417" i="7"/>
  <c r="F416" i="7"/>
  <c r="F415" i="7"/>
  <c r="F414" i="7"/>
  <c r="F413" i="7"/>
  <c r="F412" i="7"/>
  <c r="F411" i="7"/>
  <c r="F410" i="7"/>
  <c r="F409" i="7"/>
  <c r="F408" i="7"/>
  <c r="F407" i="7"/>
  <c r="F406" i="7"/>
  <c r="F405" i="7"/>
  <c r="F404" i="7"/>
  <c r="F403" i="7"/>
  <c r="F402" i="7"/>
  <c r="F401" i="7"/>
  <c r="F400" i="7"/>
  <c r="F399" i="7"/>
  <c r="F398" i="7"/>
  <c r="F397" i="7"/>
  <c r="F396" i="7"/>
  <c r="F395" i="7"/>
  <c r="F394" i="7"/>
  <c r="F393" i="7"/>
  <c r="F392" i="7"/>
  <c r="F391" i="7"/>
  <c r="F390" i="7"/>
  <c r="F389" i="7"/>
  <c r="F388" i="7"/>
  <c r="F387" i="7"/>
  <c r="F386" i="7"/>
  <c r="F385" i="7"/>
  <c r="F384" i="7"/>
  <c r="F383" i="7"/>
  <c r="F382" i="7"/>
  <c r="F381" i="7"/>
  <c r="F380" i="7"/>
  <c r="F379" i="7"/>
  <c r="F378" i="7"/>
  <c r="F377" i="7"/>
  <c r="F376" i="7"/>
  <c r="F375" i="7"/>
  <c r="F374" i="7"/>
  <c r="F373" i="7"/>
  <c r="F372" i="7"/>
  <c r="F371" i="7"/>
  <c r="F370" i="7"/>
  <c r="F369" i="7"/>
  <c r="F368" i="7"/>
  <c r="F367" i="7"/>
  <c r="F366" i="7"/>
  <c r="F365" i="7"/>
  <c r="F364" i="7"/>
  <c r="F363" i="7"/>
  <c r="F362" i="7"/>
  <c r="F361" i="7"/>
  <c r="F360" i="7"/>
  <c r="F359" i="7"/>
  <c r="F358" i="7"/>
  <c r="F357" i="7"/>
  <c r="F356" i="7"/>
  <c r="F355" i="7"/>
  <c r="F354" i="7"/>
  <c r="F353" i="7"/>
  <c r="F352" i="7"/>
  <c r="F351" i="7"/>
  <c r="F350" i="7"/>
  <c r="F349" i="7"/>
  <c r="F348" i="7"/>
  <c r="F347" i="7"/>
  <c r="F346" i="7"/>
  <c r="F345" i="7"/>
  <c r="F344" i="7"/>
  <c r="F343" i="7"/>
  <c r="F342" i="7"/>
  <c r="F341" i="7"/>
  <c r="F340" i="7"/>
  <c r="F339" i="7"/>
  <c r="F338" i="7"/>
  <c r="F337" i="7"/>
  <c r="F336" i="7"/>
  <c r="F335" i="7"/>
  <c r="F334" i="7"/>
  <c r="F333" i="7"/>
  <c r="F332" i="7"/>
  <c r="F331" i="7"/>
  <c r="F330" i="7"/>
  <c r="F329" i="7"/>
  <c r="F328" i="7"/>
  <c r="F327" i="7"/>
  <c r="F326" i="7"/>
  <c r="F325" i="7"/>
  <c r="F324" i="7"/>
  <c r="F323" i="7"/>
  <c r="F322" i="7"/>
  <c r="F321" i="7"/>
  <c r="F320" i="7"/>
  <c r="F319" i="7"/>
  <c r="F318" i="7"/>
  <c r="F317" i="7"/>
  <c r="F316" i="7"/>
  <c r="F315" i="7"/>
  <c r="F314" i="7"/>
  <c r="F313" i="7"/>
  <c r="F312" i="7"/>
  <c r="F311" i="7"/>
  <c r="F310" i="7"/>
  <c r="F309" i="7"/>
  <c r="F308" i="7"/>
  <c r="F307" i="7"/>
  <c r="F306" i="7"/>
  <c r="F305" i="7"/>
  <c r="F304" i="7"/>
  <c r="F303" i="7"/>
  <c r="F302" i="7"/>
  <c r="F301" i="7"/>
  <c r="F300" i="7"/>
  <c r="F299" i="7"/>
  <c r="F298" i="7"/>
  <c r="F297" i="7"/>
  <c r="F296" i="7"/>
  <c r="F295" i="7"/>
  <c r="F294" i="7"/>
  <c r="F293" i="7"/>
  <c r="F292" i="7"/>
  <c r="F291" i="7"/>
  <c r="F290" i="7"/>
  <c r="F289" i="7"/>
  <c r="F288" i="7"/>
  <c r="F287" i="7"/>
  <c r="F286" i="7"/>
  <c r="F285" i="7"/>
  <c r="F284" i="7"/>
  <c r="F283" i="7"/>
  <c r="F282" i="7"/>
  <c r="F281" i="7"/>
  <c r="F280" i="7"/>
  <c r="F279" i="7"/>
  <c r="F278" i="7"/>
  <c r="F277" i="7"/>
  <c r="F276" i="7"/>
  <c r="F275" i="7"/>
  <c r="F274" i="7"/>
  <c r="F273" i="7"/>
  <c r="F272" i="7"/>
  <c r="F271" i="7"/>
  <c r="F270" i="7"/>
  <c r="F269" i="7"/>
  <c r="F268" i="7"/>
  <c r="F267" i="7"/>
  <c r="F266" i="7"/>
  <c r="F265" i="7"/>
  <c r="F264" i="7"/>
  <c r="F263" i="7"/>
  <c r="F262" i="7"/>
  <c r="F261" i="7"/>
  <c r="F260" i="7"/>
  <c r="F259" i="7"/>
  <c r="F258" i="7"/>
  <c r="F257" i="7"/>
  <c r="F256" i="7"/>
  <c r="F255" i="7"/>
  <c r="F254" i="7"/>
  <c r="F253" i="7"/>
  <c r="F252" i="7"/>
  <c r="F251" i="7"/>
  <c r="F250" i="7"/>
  <c r="F249" i="7"/>
  <c r="F248" i="7"/>
  <c r="F247" i="7"/>
  <c r="F246" i="7"/>
  <c r="F245" i="7"/>
  <c r="F244" i="7"/>
  <c r="F243" i="7"/>
  <c r="F242" i="7"/>
  <c r="F241" i="7"/>
  <c r="F240" i="7"/>
  <c r="F239" i="7"/>
  <c r="F238" i="7"/>
  <c r="F237" i="7"/>
  <c r="F236" i="7"/>
  <c r="F235" i="7"/>
  <c r="F234" i="7"/>
  <c r="F233" i="7"/>
  <c r="F232" i="7"/>
  <c r="F231" i="7"/>
  <c r="F230" i="7"/>
  <c r="F229" i="7"/>
  <c r="F228" i="7"/>
  <c r="F227" i="7"/>
  <c r="F226" i="7"/>
  <c r="F225" i="7"/>
  <c r="F224" i="7"/>
  <c r="F223" i="7"/>
  <c r="F222" i="7"/>
  <c r="F221" i="7"/>
  <c r="F220" i="7"/>
  <c r="F219" i="7"/>
  <c r="F218" i="7"/>
  <c r="F217" i="7"/>
  <c r="F216" i="7"/>
  <c r="F215" i="7"/>
  <c r="F214" i="7"/>
  <c r="F213" i="7"/>
  <c r="F212" i="7"/>
  <c r="F211" i="7"/>
  <c r="F210" i="7"/>
  <c r="F209" i="7"/>
  <c r="F208" i="7"/>
  <c r="F207" i="7"/>
  <c r="F206" i="7"/>
  <c r="F205" i="7"/>
  <c r="F204" i="7"/>
  <c r="F203" i="7"/>
  <c r="F202" i="7"/>
  <c r="F201" i="7"/>
  <c r="F200" i="7"/>
  <c r="F199" i="7"/>
  <c r="F198" i="7"/>
  <c r="F197" i="7"/>
  <c r="F196" i="7"/>
  <c r="F195" i="7"/>
  <c r="F194" i="7"/>
  <c r="F193" i="7"/>
  <c r="F192" i="7"/>
  <c r="F191" i="7"/>
  <c r="F190" i="7"/>
  <c r="F189" i="7"/>
  <c r="F188" i="7"/>
  <c r="F187" i="7"/>
  <c r="F186" i="7"/>
  <c r="F185" i="7"/>
  <c r="F184" i="7"/>
  <c r="F183" i="7"/>
  <c r="F182" i="7"/>
  <c r="F181" i="7"/>
  <c r="F180" i="7"/>
  <c r="F179" i="7"/>
  <c r="F178" i="7"/>
  <c r="F177" i="7"/>
  <c r="F176" i="7"/>
  <c r="F175" i="7"/>
  <c r="F174" i="7"/>
  <c r="F173" i="7"/>
  <c r="F172" i="7"/>
  <c r="F171" i="7"/>
  <c r="F170" i="7"/>
  <c r="F169" i="7"/>
  <c r="F168" i="7"/>
  <c r="F167" i="7"/>
  <c r="F166" i="7"/>
  <c r="F165" i="7"/>
  <c r="F164" i="7"/>
  <c r="F163" i="7"/>
  <c r="F162" i="7"/>
  <c r="F161" i="7"/>
  <c r="F160" i="7"/>
  <c r="F159" i="7"/>
  <c r="F158" i="7"/>
  <c r="F156" i="7"/>
  <c r="F155" i="7"/>
  <c r="F154" i="7"/>
  <c r="F153" i="7"/>
  <c r="F152" i="7"/>
  <c r="F151" i="7"/>
  <c r="F150" i="7"/>
  <c r="F149" i="7"/>
  <c r="F148" i="7"/>
  <c r="F147" i="7"/>
  <c r="F146" i="7"/>
  <c r="F145" i="7"/>
  <c r="F144" i="7"/>
  <c r="F143" i="7"/>
  <c r="F142" i="7"/>
  <c r="F141" i="7"/>
  <c r="F140" i="7"/>
  <c r="F139" i="7"/>
  <c r="F138" i="7"/>
  <c r="F137" i="7"/>
  <c r="F136" i="7"/>
  <c r="F135" i="7"/>
  <c r="F134" i="7"/>
  <c r="F133" i="7"/>
  <c r="F132" i="7"/>
  <c r="F131" i="7"/>
  <c r="F130" i="7"/>
  <c r="F129" i="7"/>
  <c r="F128" i="7"/>
  <c r="F127" i="7"/>
  <c r="F126" i="7"/>
  <c r="F125" i="7"/>
  <c r="F124" i="7"/>
  <c r="F123" i="7"/>
  <c r="F122" i="7"/>
  <c r="F121" i="7"/>
  <c r="F120" i="7"/>
  <c r="F119" i="7"/>
  <c r="F118" i="7"/>
  <c r="F117" i="7"/>
  <c r="F116" i="7"/>
  <c r="F115" i="7"/>
  <c r="F114" i="7"/>
  <c r="F113" i="7"/>
  <c r="F112" i="7"/>
  <c r="F111" i="7"/>
  <c r="F110" i="7"/>
  <c r="F109" i="7"/>
  <c r="F108" i="7"/>
  <c r="F107" i="7"/>
  <c r="F106" i="7"/>
  <c r="F105" i="7"/>
  <c r="F104" i="7"/>
  <c r="F103" i="7"/>
  <c r="F102" i="7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R58" i="1"/>
  <c r="C17" i="4" a="1"/>
  <c r="C17" i="4"/>
  <c r="Q94" i="4"/>
  <c r="T94" i="4"/>
  <c r="Q99" i="4"/>
  <c r="R99" i="4"/>
  <c r="S99" i="4"/>
  <c r="T99" i="4"/>
  <c r="U99" i="4"/>
  <c r="V99" i="4"/>
  <c r="Q100" i="4"/>
  <c r="R100" i="4"/>
  <c r="S100" i="4"/>
  <c r="T100" i="4"/>
  <c r="U100" i="4"/>
  <c r="V100" i="4"/>
  <c r="Q101" i="4"/>
  <c r="R101" i="4"/>
  <c r="S101" i="4"/>
  <c r="T101" i="4"/>
  <c r="U101" i="4"/>
  <c r="V101" i="4"/>
  <c r="Q102" i="4"/>
  <c r="R102" i="4"/>
  <c r="S102" i="4"/>
  <c r="T102" i="4"/>
  <c r="U102" i="4"/>
  <c r="V102" i="4"/>
  <c r="Q103" i="4"/>
  <c r="R103" i="4"/>
  <c r="S103" i="4"/>
  <c r="T103" i="4"/>
  <c r="U103" i="4"/>
  <c r="V103" i="4"/>
  <c r="Q129" i="4"/>
  <c r="T129" i="4"/>
  <c r="Q134" i="4"/>
  <c r="R134" i="4"/>
  <c r="S134" i="4"/>
  <c r="T134" i="4"/>
  <c r="U134" i="4"/>
  <c r="V134" i="4"/>
  <c r="Q135" i="4"/>
  <c r="R135" i="4"/>
  <c r="S135" i="4"/>
  <c r="T135" i="4"/>
  <c r="U135" i="4"/>
  <c r="V135" i="4"/>
  <c r="Q136" i="4"/>
  <c r="R136" i="4"/>
  <c r="S136" i="4"/>
  <c r="T136" i="4"/>
  <c r="U136" i="4"/>
  <c r="V136" i="4"/>
  <c r="Q137" i="4"/>
  <c r="R137" i="4"/>
  <c r="S137" i="4"/>
  <c r="T137" i="4"/>
  <c r="U137" i="4"/>
  <c r="V137" i="4"/>
  <c r="Q138" i="4"/>
  <c r="R138" i="4"/>
  <c r="S138" i="4"/>
  <c r="T138" i="4"/>
  <c r="U138" i="4"/>
  <c r="V138" i="4"/>
  <c r="Q164" i="4"/>
  <c r="T164" i="4"/>
  <c r="Q169" i="4"/>
  <c r="R169" i="4"/>
  <c r="S169" i="4"/>
  <c r="T169" i="4"/>
  <c r="U169" i="4"/>
  <c r="V169" i="4"/>
  <c r="Q170" i="4"/>
  <c r="R170" i="4"/>
  <c r="S170" i="4"/>
  <c r="T170" i="4"/>
  <c r="U170" i="4"/>
  <c r="V170" i="4"/>
  <c r="Q171" i="4"/>
  <c r="R171" i="4"/>
  <c r="S171" i="4"/>
  <c r="T171" i="4"/>
  <c r="U171" i="4"/>
  <c r="V171" i="4"/>
  <c r="Q172" i="4"/>
  <c r="R172" i="4"/>
  <c r="S172" i="4"/>
  <c r="T172" i="4"/>
  <c r="U172" i="4"/>
  <c r="V172" i="4"/>
  <c r="Q173" i="4"/>
  <c r="R173" i="4"/>
  <c r="S173" i="4"/>
  <c r="T173" i="4"/>
  <c r="U173" i="4"/>
  <c r="V173" i="4"/>
  <c r="Q199" i="4"/>
  <c r="T199" i="4"/>
  <c r="Q204" i="4"/>
  <c r="R204" i="4"/>
  <c r="S204" i="4"/>
  <c r="T204" i="4"/>
  <c r="U204" i="4"/>
  <c r="V204" i="4"/>
  <c r="Q205" i="4"/>
  <c r="R205" i="4"/>
  <c r="S205" i="4"/>
  <c r="T205" i="4"/>
  <c r="U205" i="4"/>
  <c r="V205" i="4"/>
  <c r="Q206" i="4"/>
  <c r="R206" i="4"/>
  <c r="S206" i="4"/>
  <c r="T206" i="4"/>
  <c r="U206" i="4"/>
  <c r="V206" i="4"/>
  <c r="Q207" i="4"/>
  <c r="R207" i="4"/>
  <c r="S207" i="4"/>
  <c r="T207" i="4"/>
  <c r="U207" i="4"/>
  <c r="V207" i="4"/>
  <c r="Q208" i="4"/>
  <c r="R208" i="4"/>
  <c r="S208" i="4"/>
  <c r="T208" i="4"/>
  <c r="U208" i="4"/>
  <c r="V208" i="4"/>
  <c r="Q234" i="4"/>
  <c r="T234" i="4"/>
  <c r="Q239" i="4"/>
  <c r="R239" i="4"/>
  <c r="S239" i="4"/>
  <c r="T239" i="4"/>
  <c r="U239" i="4"/>
  <c r="V239" i="4"/>
  <c r="Q240" i="4"/>
  <c r="R240" i="4"/>
  <c r="S240" i="4"/>
  <c r="T240" i="4"/>
  <c r="U240" i="4"/>
  <c r="V240" i="4"/>
  <c r="Q241" i="4"/>
  <c r="R241" i="4"/>
  <c r="S241" i="4"/>
  <c r="T241" i="4"/>
  <c r="U241" i="4"/>
  <c r="V241" i="4"/>
  <c r="Q242" i="4"/>
  <c r="R242" i="4"/>
  <c r="S242" i="4"/>
  <c r="T242" i="4"/>
  <c r="U242" i="4"/>
  <c r="V242" i="4"/>
  <c r="Q243" i="4"/>
  <c r="R243" i="4"/>
  <c r="S243" i="4"/>
  <c r="T243" i="4"/>
  <c r="U243" i="4"/>
  <c r="V243" i="4"/>
  <c r="Q269" i="4"/>
  <c r="T269" i="4"/>
  <c r="Q274" i="4"/>
  <c r="R274" i="4"/>
  <c r="S274" i="4"/>
  <c r="T274" i="4"/>
  <c r="U274" i="4"/>
  <c r="V274" i="4"/>
  <c r="Q275" i="4"/>
  <c r="R275" i="4"/>
  <c r="S275" i="4"/>
  <c r="T275" i="4"/>
  <c r="U275" i="4"/>
  <c r="V275" i="4"/>
  <c r="Q276" i="4"/>
  <c r="R276" i="4"/>
  <c r="S276" i="4"/>
  <c r="T276" i="4"/>
  <c r="U276" i="4"/>
  <c r="V276" i="4"/>
  <c r="Q277" i="4"/>
  <c r="R277" i="4"/>
  <c r="S277" i="4"/>
  <c r="T277" i="4"/>
  <c r="U277" i="4"/>
  <c r="V277" i="4"/>
  <c r="Q278" i="4"/>
  <c r="R278" i="4"/>
  <c r="S278" i="4"/>
  <c r="T278" i="4"/>
  <c r="U278" i="4"/>
  <c r="V278" i="4"/>
  <c r="Q304" i="4"/>
  <c r="T304" i="4"/>
  <c r="Q309" i="4"/>
  <c r="R309" i="4"/>
  <c r="S309" i="4"/>
  <c r="T309" i="4"/>
  <c r="U309" i="4"/>
  <c r="V309" i="4"/>
  <c r="Q310" i="4"/>
  <c r="R310" i="4"/>
  <c r="S310" i="4"/>
  <c r="T310" i="4"/>
  <c r="U310" i="4"/>
  <c r="V310" i="4"/>
  <c r="Q311" i="4"/>
  <c r="R311" i="4"/>
  <c r="S311" i="4"/>
  <c r="T311" i="4"/>
  <c r="U311" i="4"/>
  <c r="V311" i="4"/>
  <c r="Q312" i="4"/>
  <c r="R312" i="4"/>
  <c r="S312" i="4"/>
  <c r="T312" i="4"/>
  <c r="U312" i="4"/>
  <c r="V312" i="4"/>
  <c r="Q313" i="4"/>
  <c r="R313" i="4"/>
  <c r="S313" i="4"/>
  <c r="T313" i="4"/>
  <c r="U313" i="4"/>
  <c r="V313" i="4"/>
  <c r="Q339" i="4"/>
  <c r="T339" i="4"/>
  <c r="Q344" i="4"/>
  <c r="R344" i="4"/>
  <c r="S344" i="4"/>
  <c r="T344" i="4"/>
  <c r="U344" i="4"/>
  <c r="V344" i="4"/>
  <c r="Q345" i="4"/>
  <c r="R345" i="4"/>
  <c r="S345" i="4"/>
  <c r="T345" i="4"/>
  <c r="U345" i="4"/>
  <c r="V345" i="4"/>
  <c r="Q346" i="4"/>
  <c r="R346" i="4"/>
  <c r="S346" i="4"/>
  <c r="T346" i="4"/>
  <c r="U346" i="4"/>
  <c r="V346" i="4"/>
  <c r="Q347" i="4"/>
  <c r="R347" i="4"/>
  <c r="S347" i="4"/>
  <c r="T347" i="4"/>
  <c r="U347" i="4"/>
  <c r="V347" i="4"/>
  <c r="Q348" i="4"/>
  <c r="R348" i="4"/>
  <c r="S348" i="4"/>
  <c r="T348" i="4"/>
  <c r="U348" i="4"/>
  <c r="V348" i="4"/>
  <c r="Q374" i="4"/>
  <c r="T374" i="4"/>
  <c r="Q379" i="4"/>
  <c r="R379" i="4"/>
  <c r="S379" i="4"/>
  <c r="T379" i="4"/>
  <c r="U379" i="4"/>
  <c r="V379" i="4"/>
  <c r="Q380" i="4"/>
  <c r="R380" i="4"/>
  <c r="S380" i="4"/>
  <c r="T380" i="4"/>
  <c r="U380" i="4"/>
  <c r="V380" i="4"/>
  <c r="Q381" i="4"/>
  <c r="R381" i="4"/>
  <c r="S381" i="4"/>
  <c r="T381" i="4"/>
  <c r="U381" i="4"/>
  <c r="V381" i="4"/>
  <c r="Q382" i="4"/>
  <c r="R382" i="4"/>
  <c r="S382" i="4"/>
  <c r="T382" i="4"/>
  <c r="U382" i="4"/>
  <c r="V382" i="4"/>
  <c r="Q383" i="4"/>
  <c r="R383" i="4"/>
  <c r="S383" i="4"/>
  <c r="T383" i="4"/>
  <c r="U383" i="4"/>
  <c r="V383" i="4"/>
  <c r="Q409" i="4"/>
  <c r="T409" i="4"/>
  <c r="Q414" i="4"/>
  <c r="R414" i="4"/>
  <c r="S414" i="4"/>
  <c r="T414" i="4"/>
  <c r="U414" i="4"/>
  <c r="V414" i="4"/>
  <c r="Q415" i="4"/>
  <c r="R415" i="4"/>
  <c r="S415" i="4"/>
  <c r="T415" i="4"/>
  <c r="U415" i="4"/>
  <c r="V415" i="4"/>
  <c r="Q416" i="4"/>
  <c r="R416" i="4"/>
  <c r="S416" i="4"/>
  <c r="T416" i="4"/>
  <c r="U416" i="4"/>
  <c r="V416" i="4"/>
  <c r="Q417" i="4"/>
  <c r="R417" i="4"/>
  <c r="S417" i="4"/>
  <c r="T417" i="4"/>
  <c r="U417" i="4"/>
  <c r="V417" i="4"/>
  <c r="Q418" i="4"/>
  <c r="R418" i="4"/>
  <c r="S418" i="4"/>
  <c r="T418" i="4"/>
  <c r="U418" i="4"/>
  <c r="V418" i="4"/>
  <c r="Q444" i="4"/>
  <c r="T444" i="4"/>
  <c r="Q449" i="4"/>
  <c r="R449" i="4"/>
  <c r="S449" i="4"/>
  <c r="T449" i="4"/>
  <c r="U449" i="4"/>
  <c r="V449" i="4"/>
  <c r="Q450" i="4"/>
  <c r="R450" i="4"/>
  <c r="S450" i="4"/>
  <c r="T450" i="4"/>
  <c r="U450" i="4"/>
  <c r="V450" i="4"/>
  <c r="Q451" i="4"/>
  <c r="R451" i="4"/>
  <c r="S451" i="4"/>
  <c r="T451" i="4"/>
  <c r="U451" i="4"/>
  <c r="V451" i="4"/>
  <c r="Q452" i="4"/>
  <c r="R452" i="4"/>
  <c r="S452" i="4"/>
  <c r="T452" i="4"/>
  <c r="U452" i="4"/>
  <c r="V452" i="4"/>
  <c r="Q453" i="4"/>
  <c r="R453" i="4"/>
  <c r="S453" i="4"/>
  <c r="T453" i="4"/>
  <c r="U453" i="4"/>
  <c r="V453" i="4"/>
  <c r="Q479" i="4"/>
  <c r="T479" i="4"/>
  <c r="Q484" i="4"/>
  <c r="R484" i="4"/>
  <c r="S484" i="4"/>
  <c r="T484" i="4"/>
  <c r="U484" i="4"/>
  <c r="V484" i="4"/>
  <c r="Q485" i="4"/>
  <c r="R485" i="4"/>
  <c r="S485" i="4"/>
  <c r="T485" i="4"/>
  <c r="U485" i="4"/>
  <c r="V485" i="4"/>
  <c r="Q486" i="4"/>
  <c r="R486" i="4"/>
  <c r="S486" i="4"/>
  <c r="T486" i="4"/>
  <c r="U486" i="4"/>
  <c r="V486" i="4"/>
  <c r="Q487" i="4"/>
  <c r="R487" i="4"/>
  <c r="S487" i="4"/>
  <c r="T487" i="4"/>
  <c r="U487" i="4"/>
  <c r="V487" i="4"/>
  <c r="Q488" i="4"/>
  <c r="R488" i="4"/>
  <c r="S488" i="4"/>
  <c r="T488" i="4"/>
  <c r="U488" i="4"/>
  <c r="V488" i="4"/>
  <c r="Q514" i="4"/>
  <c r="T514" i="4"/>
  <c r="Q519" i="4"/>
  <c r="R519" i="4"/>
  <c r="S519" i="4"/>
  <c r="T519" i="4"/>
  <c r="U519" i="4"/>
  <c r="V519" i="4"/>
  <c r="Q520" i="4"/>
  <c r="R520" i="4"/>
  <c r="S520" i="4"/>
  <c r="T520" i="4"/>
  <c r="U520" i="4"/>
  <c r="V520" i="4"/>
  <c r="Q521" i="4"/>
  <c r="R521" i="4"/>
  <c r="S521" i="4"/>
  <c r="T521" i="4"/>
  <c r="U521" i="4"/>
  <c r="V521" i="4"/>
  <c r="Q522" i="4"/>
  <c r="R522" i="4"/>
  <c r="S522" i="4"/>
  <c r="T522" i="4"/>
  <c r="U522" i="4"/>
  <c r="V522" i="4"/>
  <c r="Q523" i="4"/>
  <c r="R523" i="4"/>
  <c r="S523" i="4"/>
  <c r="T523" i="4"/>
  <c r="U523" i="4"/>
  <c r="V523" i="4"/>
  <c r="S68" i="4"/>
  <c r="V68" i="4" s="1"/>
  <c r="R68" i="4"/>
  <c r="U68" i="4" s="1"/>
  <c r="Q68" i="4"/>
  <c r="T68" i="4" s="1"/>
  <c r="S67" i="4"/>
  <c r="V67" i="4" s="1"/>
  <c r="R67" i="4"/>
  <c r="U67" i="4" s="1"/>
  <c r="Q67" i="4"/>
  <c r="T67" i="4" s="1"/>
  <c r="S66" i="4"/>
  <c r="V66" i="4" s="1"/>
  <c r="R66" i="4"/>
  <c r="U66" i="4" s="1"/>
  <c r="Q66" i="4"/>
  <c r="T66" i="4" s="1"/>
  <c r="S65" i="4"/>
  <c r="V65" i="4" s="1"/>
  <c r="R65" i="4"/>
  <c r="U65" i="4" s="1"/>
  <c r="Q65" i="4"/>
  <c r="T65" i="4" s="1"/>
  <c r="S64" i="4"/>
  <c r="V64" i="4" s="1"/>
  <c r="R64" i="4"/>
  <c r="U64" i="4" s="1"/>
  <c r="Q64" i="4"/>
  <c r="T64" i="4" s="1"/>
  <c r="Q59" i="4"/>
  <c r="T59" i="4" s="1"/>
  <c r="Q24" i="4"/>
  <c r="R29" i="4"/>
  <c r="S29" i="4"/>
  <c r="R30" i="4"/>
  <c r="S30" i="4"/>
  <c r="R31" i="4"/>
  <c r="S31" i="4"/>
  <c r="R32" i="4"/>
  <c r="S32" i="4"/>
  <c r="R33" i="4"/>
  <c r="S33" i="4"/>
  <c r="Q30" i="4"/>
  <c r="Q31" i="4"/>
  <c r="Q32" i="4"/>
  <c r="Q33" i="4"/>
  <c r="Q29" i="4"/>
  <c r="V29" i="4"/>
  <c r="U30" i="4"/>
  <c r="V30" i="4"/>
  <c r="U31" i="4"/>
  <c r="V31" i="4"/>
  <c r="U32" i="4"/>
  <c r="V32" i="4"/>
  <c r="U33" i="4"/>
  <c r="V33" i="4"/>
  <c r="U36" i="4"/>
  <c r="V36" i="4"/>
  <c r="T24" i="4"/>
  <c r="J4" i="3"/>
  <c r="J6" i="3"/>
  <c r="J8" i="3"/>
  <c r="J10" i="3"/>
  <c r="B355" i="4"/>
  <c r="D355" i="4"/>
  <c r="E355" i="4" a="1"/>
  <c r="E355" i="4"/>
  <c r="C361" i="4"/>
  <c r="B390" i="4"/>
  <c r="D390" i="4"/>
  <c r="E390" i="4" a="1"/>
  <c r="E390" i="4"/>
  <c r="C396" i="4"/>
  <c r="B425" i="4"/>
  <c r="D425" i="4"/>
  <c r="E425" i="4" a="1"/>
  <c r="E425" i="4"/>
  <c r="C431" i="4"/>
  <c r="B460" i="4"/>
  <c r="D460" i="4"/>
  <c r="E460" i="4" a="1"/>
  <c r="E460" i="4"/>
  <c r="C466" i="4"/>
  <c r="D495" i="4"/>
  <c r="C501" i="4"/>
  <c r="C9" i="3"/>
  <c r="S158" i="1"/>
  <c r="S136" i="1"/>
  <c r="D4" i="5"/>
  <c r="Y37" i="1"/>
  <c r="Z37" i="1"/>
  <c r="AA37" i="1"/>
  <c r="AB37" i="1"/>
  <c r="AC37" i="1"/>
  <c r="Y44" i="1"/>
  <c r="Z44" i="1"/>
  <c r="AA44" i="1"/>
  <c r="AB44" i="1"/>
  <c r="AC44" i="1"/>
  <c r="Y47" i="1"/>
  <c r="Z47" i="1"/>
  <c r="AA47" i="1"/>
  <c r="AB47" i="1"/>
  <c r="AC47" i="1"/>
  <c r="Y48" i="1"/>
  <c r="Z48" i="1"/>
  <c r="AA48" i="1"/>
  <c r="AB48" i="1"/>
  <c r="AC48" i="1"/>
  <c r="Y52" i="1"/>
  <c r="Z52" i="1"/>
  <c r="AA52" i="1"/>
  <c r="AB52" i="1"/>
  <c r="AC52" i="1"/>
  <c r="Y53" i="1"/>
  <c r="Z53" i="1"/>
  <c r="AA53" i="1"/>
  <c r="AB53" i="1"/>
  <c r="AC53" i="1"/>
  <c r="Y54" i="1"/>
  <c r="Z54" i="1"/>
  <c r="AA54" i="1"/>
  <c r="AB54" i="1"/>
  <c r="AC54" i="1"/>
  <c r="Y55" i="1"/>
  <c r="Z55" i="1"/>
  <c r="AA55" i="1"/>
  <c r="AB55" i="1"/>
  <c r="AC55" i="1"/>
  <c r="Y59" i="1"/>
  <c r="Z59" i="1"/>
  <c r="AA59" i="1"/>
  <c r="AB59" i="1"/>
  <c r="AC59" i="1"/>
  <c r="Y60" i="1"/>
  <c r="Z60" i="1"/>
  <c r="AA60" i="1"/>
  <c r="AB60" i="1"/>
  <c r="AC60" i="1"/>
  <c r="Y61" i="1"/>
  <c r="Z61" i="1"/>
  <c r="AA61" i="1"/>
  <c r="AB61" i="1"/>
  <c r="AC61" i="1"/>
  <c r="Y62" i="1"/>
  <c r="Z62" i="1"/>
  <c r="AA62" i="1"/>
  <c r="AB62" i="1"/>
  <c r="AC62" i="1"/>
  <c r="Y63" i="1"/>
  <c r="Z63" i="1"/>
  <c r="AA63" i="1"/>
  <c r="AB63" i="1"/>
  <c r="AC63" i="1"/>
  <c r="Y64" i="1"/>
  <c r="Z64" i="1"/>
  <c r="AA64" i="1"/>
  <c r="AB64" i="1"/>
  <c r="AC64" i="1"/>
  <c r="X10" i="1"/>
  <c r="X11" i="1"/>
  <c r="X12" i="1"/>
  <c r="X13" i="1"/>
  <c r="X14" i="1"/>
  <c r="X15" i="1"/>
  <c r="X17" i="1"/>
  <c r="X19" i="1"/>
  <c r="X20" i="1"/>
  <c r="X21" i="1"/>
  <c r="X22" i="1"/>
  <c r="X23" i="1"/>
  <c r="X24" i="1"/>
  <c r="X25" i="1"/>
  <c r="X26" i="1"/>
  <c r="X27" i="1"/>
  <c r="X28" i="1"/>
  <c r="X37" i="1"/>
  <c r="X44" i="1"/>
  <c r="X47" i="1"/>
  <c r="X48" i="1"/>
  <c r="X52" i="1"/>
  <c r="X53" i="1"/>
  <c r="X54" i="1"/>
  <c r="X55" i="1"/>
  <c r="X59" i="1"/>
  <c r="X60" i="1"/>
  <c r="X61" i="1"/>
  <c r="X62" i="1"/>
  <c r="X63" i="1"/>
  <c r="X64" i="1"/>
  <c r="X66" i="1"/>
  <c r="X67" i="1"/>
  <c r="X68" i="1"/>
  <c r="X71" i="1"/>
  <c r="X73" i="1"/>
  <c r="X75" i="1"/>
  <c r="X77" i="1"/>
  <c r="X83" i="1"/>
  <c r="X88" i="1"/>
  <c r="X89" i="1"/>
  <c r="X90" i="1"/>
  <c r="X92" i="1"/>
  <c r="X97" i="1"/>
  <c r="X98" i="1"/>
  <c r="X99" i="1"/>
  <c r="X101" i="1"/>
  <c r="X104" i="1"/>
  <c r="X105" i="1"/>
  <c r="X107" i="1"/>
  <c r="X110" i="1"/>
  <c r="X115" i="1"/>
  <c r="X116" i="1"/>
  <c r="X117" i="1"/>
  <c r="X118" i="1"/>
  <c r="X120" i="1"/>
  <c r="X137" i="1"/>
  <c r="X139" i="1"/>
  <c r="X159" i="1"/>
  <c r="X162" i="1"/>
  <c r="X499" i="1"/>
  <c r="X497" i="1"/>
  <c r="X495" i="1"/>
  <c r="X494" i="1"/>
  <c r="X482" i="1"/>
  <c r="X481" i="1"/>
  <c r="X480" i="1"/>
  <c r="X469" i="1"/>
  <c r="X465" i="1"/>
  <c r="X464" i="1"/>
  <c r="X463" i="1"/>
  <c r="X462" i="1"/>
  <c r="X461" i="1"/>
  <c r="X460" i="1"/>
  <c r="X455" i="1"/>
  <c r="X454" i="1"/>
  <c r="X453" i="1"/>
  <c r="X452" i="1"/>
  <c r="X451" i="1"/>
  <c r="X449" i="1"/>
  <c r="X443" i="1"/>
  <c r="X441" i="1"/>
  <c r="X438" i="1"/>
  <c r="X437" i="1"/>
  <c r="X435" i="1"/>
  <c r="X433" i="1"/>
  <c r="X431" i="1"/>
  <c r="X429" i="1"/>
  <c r="X426" i="1"/>
  <c r="X425" i="1"/>
  <c r="X424" i="1"/>
  <c r="X423" i="1"/>
  <c r="X422" i="1"/>
  <c r="X420" i="1"/>
  <c r="X419" i="1"/>
  <c r="X417" i="1"/>
  <c r="X415" i="1"/>
  <c r="X413" i="1"/>
  <c r="X410" i="1"/>
  <c r="X399" i="1"/>
  <c r="X397" i="1"/>
  <c r="X395" i="1"/>
  <c r="X394" i="1"/>
  <c r="X382" i="1"/>
  <c r="X381" i="1"/>
  <c r="X380" i="1"/>
  <c r="X369" i="1"/>
  <c r="X365" i="1"/>
  <c r="X364" i="1"/>
  <c r="X363" i="1"/>
  <c r="X362" i="1"/>
  <c r="X361" i="1"/>
  <c r="X360" i="1"/>
  <c r="X355" i="1"/>
  <c r="X354" i="1"/>
  <c r="X353" i="1"/>
  <c r="X352" i="1"/>
  <c r="X351" i="1"/>
  <c r="X349" i="1"/>
  <c r="X343" i="1"/>
  <c r="X341" i="1"/>
  <c r="X338" i="1"/>
  <c r="X337" i="1"/>
  <c r="X335" i="1"/>
  <c r="X333" i="1"/>
  <c r="X331" i="1"/>
  <c r="X329" i="1"/>
  <c r="X326" i="1"/>
  <c r="X325" i="1"/>
  <c r="X324" i="1"/>
  <c r="X323" i="1"/>
  <c r="X322" i="1"/>
  <c r="X320" i="1"/>
  <c r="X319" i="1"/>
  <c r="X317" i="1"/>
  <c r="X315" i="1"/>
  <c r="X313" i="1"/>
  <c r="X310" i="1"/>
  <c r="X299" i="1"/>
  <c r="X297" i="1"/>
  <c r="X295" i="1"/>
  <c r="X294" i="1"/>
  <c r="X282" i="1"/>
  <c r="X281" i="1"/>
  <c r="X280" i="1"/>
  <c r="X269" i="1"/>
  <c r="X265" i="1"/>
  <c r="X264" i="1"/>
  <c r="X263" i="1"/>
  <c r="X262" i="1"/>
  <c r="X261" i="1"/>
  <c r="X260" i="1"/>
  <c r="X255" i="1"/>
  <c r="X254" i="1"/>
  <c r="X253" i="1"/>
  <c r="X252" i="1"/>
  <c r="X251" i="1"/>
  <c r="X249" i="1"/>
  <c r="X243" i="1"/>
  <c r="X241" i="1"/>
  <c r="X238" i="1"/>
  <c r="X237" i="1"/>
  <c r="X235" i="1"/>
  <c r="X233" i="1"/>
  <c r="X231" i="1"/>
  <c r="X229" i="1"/>
  <c r="X226" i="1"/>
  <c r="X225" i="1"/>
  <c r="X224" i="1"/>
  <c r="X223" i="1"/>
  <c r="X222" i="1"/>
  <c r="X220" i="1"/>
  <c r="X219" i="1"/>
  <c r="X217" i="1"/>
  <c r="X215" i="1"/>
  <c r="X213" i="1"/>
  <c r="X210" i="1"/>
  <c r="X199" i="1"/>
  <c r="X197" i="1"/>
  <c r="X195" i="1"/>
  <c r="X194" i="1"/>
  <c r="X182" i="1"/>
  <c r="X181" i="1"/>
  <c r="X180" i="1"/>
  <c r="X169" i="1"/>
  <c r="X9" i="1"/>
  <c r="X8" i="1"/>
  <c r="S9" i="3"/>
  <c r="P8" i="3"/>
  <c r="D9" i="1"/>
  <c r="D8" i="1"/>
  <c r="Q7" i="1"/>
  <c r="C4" i="6"/>
  <c r="Q502" i="3"/>
  <c r="P502" i="3"/>
  <c r="Q501" i="3"/>
  <c r="P501" i="3"/>
  <c r="Q500" i="3"/>
  <c r="P500" i="3"/>
  <c r="Q499" i="3"/>
  <c r="P499" i="3"/>
  <c r="Q498" i="3"/>
  <c r="P498" i="3"/>
  <c r="Q497" i="3"/>
  <c r="P497" i="3"/>
  <c r="Q496" i="3"/>
  <c r="P496" i="3"/>
  <c r="Q495" i="3"/>
  <c r="P495" i="3"/>
  <c r="Q494" i="3"/>
  <c r="P494" i="3"/>
  <c r="Q493" i="3"/>
  <c r="P493" i="3"/>
  <c r="Q492" i="3"/>
  <c r="P492" i="3"/>
  <c r="Q489" i="3"/>
  <c r="P489" i="3"/>
  <c r="Q486" i="3"/>
  <c r="P486" i="3"/>
  <c r="Q483" i="3"/>
  <c r="P483" i="3"/>
  <c r="Q482" i="3"/>
  <c r="P482" i="3"/>
  <c r="Q481" i="3"/>
  <c r="P481" i="3"/>
  <c r="Q480" i="3"/>
  <c r="P480" i="3"/>
  <c r="Q479" i="3"/>
  <c r="P479" i="3"/>
  <c r="Q478" i="3"/>
  <c r="P478" i="3"/>
  <c r="Q477" i="3"/>
  <c r="P477" i="3"/>
  <c r="Q474" i="3"/>
  <c r="P474" i="3"/>
  <c r="Q471" i="3"/>
  <c r="P471" i="3"/>
  <c r="Q470" i="3"/>
  <c r="P470" i="3"/>
  <c r="Q469" i="3"/>
  <c r="P469" i="3"/>
  <c r="Q468" i="3"/>
  <c r="P468" i="3"/>
  <c r="Q466" i="3"/>
  <c r="P466" i="3"/>
  <c r="Q465" i="3"/>
  <c r="P465" i="3"/>
  <c r="Q464" i="3"/>
  <c r="P464" i="3"/>
  <c r="Q463" i="3"/>
  <c r="P463" i="3"/>
  <c r="Q462" i="3"/>
  <c r="P462" i="3"/>
  <c r="Q461" i="3"/>
  <c r="P461" i="3"/>
  <c r="Q460" i="3"/>
  <c r="P460" i="3"/>
  <c r="Q459" i="3"/>
  <c r="P459" i="3"/>
  <c r="Q458" i="3"/>
  <c r="P458" i="3"/>
  <c r="Q457" i="3"/>
  <c r="P457" i="3"/>
  <c r="Q450" i="3"/>
  <c r="P450" i="3"/>
  <c r="Q449" i="3"/>
  <c r="P449" i="3"/>
  <c r="Q448" i="3"/>
  <c r="P448" i="3"/>
  <c r="Q447" i="3"/>
  <c r="P447" i="3"/>
  <c r="Q446" i="3"/>
  <c r="P446" i="3"/>
  <c r="Q445" i="3"/>
  <c r="P445" i="3"/>
  <c r="Q444" i="3"/>
  <c r="P444" i="3"/>
  <c r="Q443" i="3"/>
  <c r="P443" i="3"/>
  <c r="Q442" i="3"/>
  <c r="P442" i="3"/>
  <c r="Q441" i="3"/>
  <c r="P441" i="3"/>
  <c r="Q440" i="3"/>
  <c r="P440" i="3"/>
  <c r="Q439" i="3"/>
  <c r="P439" i="3"/>
  <c r="Q438" i="3"/>
  <c r="P438" i="3"/>
  <c r="Q436" i="3"/>
  <c r="P436" i="3"/>
  <c r="Q435" i="3"/>
  <c r="P435" i="3"/>
  <c r="Q434" i="3"/>
  <c r="P434" i="3"/>
  <c r="Q433" i="3"/>
  <c r="P433" i="3"/>
  <c r="Q432" i="3"/>
  <c r="P432" i="3"/>
  <c r="Q431" i="3"/>
  <c r="P431" i="3"/>
  <c r="Q430" i="3"/>
  <c r="P430" i="3"/>
  <c r="Q429" i="3"/>
  <c r="P429" i="3"/>
  <c r="Q428" i="3"/>
  <c r="P428" i="3"/>
  <c r="Q427" i="3"/>
  <c r="P427" i="3"/>
  <c r="Q426" i="3"/>
  <c r="P426" i="3"/>
  <c r="Q425" i="3"/>
  <c r="P425" i="3"/>
  <c r="Q424" i="3"/>
  <c r="P424" i="3"/>
  <c r="Q423" i="3"/>
  <c r="P423" i="3"/>
  <c r="Q422" i="3"/>
  <c r="P422" i="3"/>
  <c r="Q421" i="3"/>
  <c r="P421" i="3"/>
  <c r="Q420" i="3"/>
  <c r="P420" i="3"/>
  <c r="Q419" i="3"/>
  <c r="P419" i="3"/>
  <c r="Q417" i="3"/>
  <c r="P417" i="3"/>
  <c r="Q416" i="3"/>
  <c r="P416" i="3"/>
  <c r="Q415" i="3"/>
  <c r="P415" i="3"/>
  <c r="Q414" i="3"/>
  <c r="P414" i="3"/>
  <c r="Q413" i="3"/>
  <c r="P413" i="3"/>
  <c r="Q411" i="3"/>
  <c r="P411" i="3"/>
  <c r="Q410" i="3"/>
  <c r="P410" i="3"/>
  <c r="Q409" i="3"/>
  <c r="P409" i="3"/>
  <c r="Q408" i="3"/>
  <c r="P408" i="3"/>
  <c r="Q407" i="3"/>
  <c r="P407" i="3"/>
  <c r="Q406" i="3"/>
  <c r="P406" i="3"/>
  <c r="Q402" i="3"/>
  <c r="P402" i="3"/>
  <c r="Q401" i="3"/>
  <c r="P401" i="3"/>
  <c r="Q400" i="3"/>
  <c r="P400" i="3"/>
  <c r="Q399" i="3"/>
  <c r="P399" i="3"/>
  <c r="Q398" i="3"/>
  <c r="P398" i="3"/>
  <c r="Q397" i="3"/>
  <c r="P397" i="3"/>
  <c r="Q396" i="3"/>
  <c r="P396" i="3"/>
  <c r="Q395" i="3"/>
  <c r="P395" i="3"/>
  <c r="Q394" i="3"/>
  <c r="P394" i="3"/>
  <c r="Q393" i="3"/>
  <c r="P393" i="3"/>
  <c r="Q392" i="3"/>
  <c r="P392" i="3"/>
  <c r="Q389" i="3"/>
  <c r="P389" i="3"/>
  <c r="Q386" i="3"/>
  <c r="P386" i="3"/>
  <c r="Q383" i="3"/>
  <c r="P383" i="3"/>
  <c r="Q382" i="3"/>
  <c r="P382" i="3"/>
  <c r="Q381" i="3"/>
  <c r="P381" i="3"/>
  <c r="Q380" i="3"/>
  <c r="P380" i="3"/>
  <c r="Q379" i="3"/>
  <c r="P379" i="3"/>
  <c r="Q378" i="3"/>
  <c r="P378" i="3"/>
  <c r="Q377" i="3"/>
  <c r="P377" i="3"/>
  <c r="Q374" i="3"/>
  <c r="P374" i="3"/>
  <c r="Q371" i="3"/>
  <c r="P371" i="3"/>
  <c r="Q370" i="3"/>
  <c r="P370" i="3"/>
  <c r="Q369" i="3"/>
  <c r="P369" i="3"/>
  <c r="Q368" i="3"/>
  <c r="P368" i="3"/>
  <c r="Q366" i="3"/>
  <c r="P366" i="3"/>
  <c r="Q365" i="3"/>
  <c r="P365" i="3"/>
  <c r="Q364" i="3"/>
  <c r="P364" i="3"/>
  <c r="Q363" i="3"/>
  <c r="P363" i="3"/>
  <c r="Q362" i="3"/>
  <c r="P362" i="3"/>
  <c r="Q361" i="3"/>
  <c r="P361" i="3"/>
  <c r="Q360" i="3"/>
  <c r="P360" i="3"/>
  <c r="Q359" i="3"/>
  <c r="P359" i="3"/>
  <c r="Q358" i="3"/>
  <c r="P358" i="3"/>
  <c r="Q357" i="3"/>
  <c r="P357" i="3"/>
  <c r="Q350" i="3"/>
  <c r="P350" i="3"/>
  <c r="Q349" i="3"/>
  <c r="P349" i="3"/>
  <c r="Q348" i="3"/>
  <c r="P348" i="3"/>
  <c r="Q347" i="3"/>
  <c r="P347" i="3"/>
  <c r="Q346" i="3"/>
  <c r="P346" i="3"/>
  <c r="Q345" i="3"/>
  <c r="P345" i="3"/>
  <c r="Q344" i="3"/>
  <c r="P344" i="3"/>
  <c r="Q343" i="3"/>
  <c r="P343" i="3"/>
  <c r="Q342" i="3"/>
  <c r="P342" i="3"/>
  <c r="Q341" i="3"/>
  <c r="P341" i="3"/>
  <c r="Q340" i="3"/>
  <c r="P340" i="3"/>
  <c r="Q339" i="3"/>
  <c r="P339" i="3"/>
  <c r="Q338" i="3"/>
  <c r="P338" i="3"/>
  <c r="Q336" i="3"/>
  <c r="P336" i="3"/>
  <c r="Q335" i="3"/>
  <c r="P335" i="3"/>
  <c r="Q334" i="3"/>
  <c r="P334" i="3"/>
  <c r="Q333" i="3"/>
  <c r="P333" i="3"/>
  <c r="Q332" i="3"/>
  <c r="P332" i="3"/>
  <c r="Q331" i="3"/>
  <c r="P331" i="3"/>
  <c r="Q330" i="3"/>
  <c r="P330" i="3"/>
  <c r="Q329" i="3"/>
  <c r="P329" i="3"/>
  <c r="Q328" i="3"/>
  <c r="P328" i="3"/>
  <c r="Q327" i="3"/>
  <c r="P327" i="3"/>
  <c r="Q326" i="3"/>
  <c r="P326" i="3"/>
  <c r="Q325" i="3"/>
  <c r="P325" i="3"/>
  <c r="Q324" i="3"/>
  <c r="P324" i="3"/>
  <c r="Q323" i="3"/>
  <c r="P323" i="3"/>
  <c r="Q322" i="3"/>
  <c r="P322" i="3"/>
  <c r="Q321" i="3"/>
  <c r="P321" i="3"/>
  <c r="Q320" i="3"/>
  <c r="P320" i="3"/>
  <c r="Q319" i="3"/>
  <c r="P319" i="3"/>
  <c r="Q317" i="3"/>
  <c r="P317" i="3"/>
  <c r="Q316" i="3"/>
  <c r="P316" i="3"/>
  <c r="Q315" i="3"/>
  <c r="P315" i="3"/>
  <c r="Q314" i="3"/>
  <c r="P314" i="3"/>
  <c r="Q313" i="3"/>
  <c r="P313" i="3"/>
  <c r="Q311" i="3"/>
  <c r="P311" i="3"/>
  <c r="Q310" i="3"/>
  <c r="P310" i="3"/>
  <c r="Q309" i="3"/>
  <c r="P309" i="3"/>
  <c r="Q308" i="3"/>
  <c r="P308" i="3"/>
  <c r="Q307" i="3"/>
  <c r="P307" i="3"/>
  <c r="Q306" i="3"/>
  <c r="P306" i="3"/>
  <c r="Q302" i="3"/>
  <c r="P302" i="3"/>
  <c r="Q301" i="3"/>
  <c r="P301" i="3"/>
  <c r="Q300" i="3"/>
  <c r="P300" i="3"/>
  <c r="Q299" i="3"/>
  <c r="P299" i="3"/>
  <c r="Q298" i="3"/>
  <c r="P298" i="3"/>
  <c r="Q297" i="3"/>
  <c r="P297" i="3"/>
  <c r="Q296" i="3"/>
  <c r="P296" i="3"/>
  <c r="Q295" i="3"/>
  <c r="P295" i="3"/>
  <c r="Q294" i="3"/>
  <c r="P294" i="3"/>
  <c r="Q293" i="3"/>
  <c r="P293" i="3"/>
  <c r="Q292" i="3"/>
  <c r="P292" i="3"/>
  <c r="Q289" i="3"/>
  <c r="P289" i="3"/>
  <c r="Q286" i="3"/>
  <c r="P286" i="3"/>
  <c r="Q283" i="3"/>
  <c r="P283" i="3"/>
  <c r="Q282" i="3"/>
  <c r="P282" i="3"/>
  <c r="Q281" i="3"/>
  <c r="P281" i="3"/>
  <c r="Q280" i="3"/>
  <c r="P280" i="3"/>
  <c r="Q279" i="3"/>
  <c r="P279" i="3"/>
  <c r="Q278" i="3"/>
  <c r="P278" i="3"/>
  <c r="Q277" i="3"/>
  <c r="P277" i="3"/>
  <c r="Q274" i="3"/>
  <c r="P274" i="3"/>
  <c r="Q271" i="3"/>
  <c r="P271" i="3"/>
  <c r="Q270" i="3"/>
  <c r="P270" i="3"/>
  <c r="Q269" i="3"/>
  <c r="P269" i="3"/>
  <c r="Q268" i="3"/>
  <c r="P268" i="3"/>
  <c r="Q266" i="3"/>
  <c r="P266" i="3"/>
  <c r="Q265" i="3"/>
  <c r="P265" i="3"/>
  <c r="Q264" i="3"/>
  <c r="P264" i="3"/>
  <c r="Q263" i="3"/>
  <c r="P263" i="3"/>
  <c r="Q262" i="3"/>
  <c r="P262" i="3"/>
  <c r="Q261" i="3"/>
  <c r="P261" i="3"/>
  <c r="Q260" i="3"/>
  <c r="P260" i="3"/>
  <c r="Q259" i="3"/>
  <c r="P259" i="3"/>
  <c r="Q258" i="3"/>
  <c r="P258" i="3"/>
  <c r="Q257" i="3"/>
  <c r="P257" i="3"/>
  <c r="Q250" i="3"/>
  <c r="P250" i="3"/>
  <c r="Q249" i="3"/>
  <c r="P249" i="3"/>
  <c r="Q248" i="3"/>
  <c r="P248" i="3"/>
  <c r="Q247" i="3"/>
  <c r="P247" i="3"/>
  <c r="Q246" i="3"/>
  <c r="P246" i="3"/>
  <c r="Q245" i="3"/>
  <c r="P245" i="3"/>
  <c r="Q244" i="3"/>
  <c r="P244" i="3"/>
  <c r="Q243" i="3"/>
  <c r="P243" i="3"/>
  <c r="Q242" i="3"/>
  <c r="P242" i="3"/>
  <c r="Q241" i="3"/>
  <c r="P241" i="3"/>
  <c r="Q240" i="3"/>
  <c r="P240" i="3"/>
  <c r="Q239" i="3"/>
  <c r="P239" i="3"/>
  <c r="Q238" i="3"/>
  <c r="P238" i="3"/>
  <c r="Q236" i="3"/>
  <c r="P236" i="3"/>
  <c r="Q235" i="3"/>
  <c r="P235" i="3"/>
  <c r="Q234" i="3"/>
  <c r="P234" i="3"/>
  <c r="Q233" i="3"/>
  <c r="P233" i="3"/>
  <c r="Q232" i="3"/>
  <c r="P232" i="3"/>
  <c r="Q231" i="3"/>
  <c r="P231" i="3"/>
  <c r="Q230" i="3"/>
  <c r="P230" i="3"/>
  <c r="Q229" i="3"/>
  <c r="P229" i="3"/>
  <c r="Q228" i="3"/>
  <c r="P228" i="3"/>
  <c r="Q227" i="3"/>
  <c r="P227" i="3"/>
  <c r="Q226" i="3"/>
  <c r="P226" i="3"/>
  <c r="Q225" i="3"/>
  <c r="P225" i="3"/>
  <c r="Q224" i="3"/>
  <c r="P224" i="3"/>
  <c r="Q223" i="3"/>
  <c r="P223" i="3"/>
  <c r="Q222" i="3"/>
  <c r="P222" i="3"/>
  <c r="Q221" i="3"/>
  <c r="P221" i="3"/>
  <c r="Q220" i="3"/>
  <c r="P220" i="3"/>
  <c r="Q219" i="3"/>
  <c r="P219" i="3"/>
  <c r="Q217" i="3"/>
  <c r="P217" i="3"/>
  <c r="Q216" i="3"/>
  <c r="P216" i="3"/>
  <c r="Q215" i="3"/>
  <c r="P215" i="3"/>
  <c r="Q214" i="3"/>
  <c r="P214" i="3"/>
  <c r="Q213" i="3"/>
  <c r="P213" i="3"/>
  <c r="Q211" i="3"/>
  <c r="P211" i="3"/>
  <c r="Q210" i="3"/>
  <c r="P210" i="3"/>
  <c r="Q209" i="3"/>
  <c r="P209" i="3"/>
  <c r="Q208" i="3"/>
  <c r="P208" i="3"/>
  <c r="Q207" i="3"/>
  <c r="P207" i="3"/>
  <c r="Q206" i="3"/>
  <c r="P206" i="3"/>
  <c r="Q202" i="3"/>
  <c r="P202" i="3"/>
  <c r="Q201" i="3"/>
  <c r="P201" i="3"/>
  <c r="Q200" i="3"/>
  <c r="P200" i="3"/>
  <c r="Q199" i="3"/>
  <c r="P199" i="3"/>
  <c r="Q198" i="3"/>
  <c r="P198" i="3"/>
  <c r="Q197" i="3"/>
  <c r="P197" i="3"/>
  <c r="Q196" i="3"/>
  <c r="P196" i="3"/>
  <c r="Q195" i="3"/>
  <c r="P195" i="3"/>
  <c r="Q194" i="3"/>
  <c r="P194" i="3"/>
  <c r="Q193" i="3"/>
  <c r="P193" i="3"/>
  <c r="Q192" i="3"/>
  <c r="P192" i="3"/>
  <c r="Q189" i="3"/>
  <c r="P189" i="3"/>
  <c r="Q186" i="3"/>
  <c r="P186" i="3"/>
  <c r="Q183" i="3"/>
  <c r="P183" i="3"/>
  <c r="Q182" i="3"/>
  <c r="P182" i="3"/>
  <c r="Q181" i="3"/>
  <c r="P181" i="3"/>
  <c r="Q180" i="3"/>
  <c r="P180" i="3"/>
  <c r="Q179" i="3"/>
  <c r="P179" i="3"/>
  <c r="Q178" i="3"/>
  <c r="P178" i="3"/>
  <c r="Q177" i="3"/>
  <c r="P177" i="3"/>
  <c r="Q174" i="3"/>
  <c r="P174" i="3"/>
  <c r="Q171" i="3"/>
  <c r="P171" i="3"/>
  <c r="Q170" i="3"/>
  <c r="P170" i="3"/>
  <c r="Q169" i="3"/>
  <c r="P169" i="3"/>
  <c r="Q168" i="3"/>
  <c r="P168" i="3"/>
  <c r="Q166" i="3"/>
  <c r="P166" i="3"/>
  <c r="Q165" i="3"/>
  <c r="P165" i="3"/>
  <c r="Q164" i="3"/>
  <c r="P164" i="3"/>
  <c r="Q163" i="3"/>
  <c r="P163" i="3"/>
  <c r="Q162" i="3"/>
  <c r="P162" i="3"/>
  <c r="Q161" i="3"/>
  <c r="P161" i="3"/>
  <c r="Q160" i="3"/>
  <c r="P160" i="3"/>
  <c r="Q159" i="3"/>
  <c r="P159" i="3"/>
  <c r="Q158" i="3"/>
  <c r="P158" i="3"/>
  <c r="Q157" i="3"/>
  <c r="P157" i="3"/>
  <c r="Q150" i="3"/>
  <c r="P150" i="3"/>
  <c r="Q149" i="3"/>
  <c r="P149" i="3"/>
  <c r="Q148" i="3"/>
  <c r="P148" i="3"/>
  <c r="Q147" i="3"/>
  <c r="P147" i="3"/>
  <c r="Q146" i="3"/>
  <c r="P146" i="3"/>
  <c r="Q145" i="3"/>
  <c r="P145" i="3"/>
  <c r="Q144" i="3"/>
  <c r="P144" i="3"/>
  <c r="Q143" i="3"/>
  <c r="P143" i="3"/>
  <c r="Q142" i="3"/>
  <c r="P142" i="3"/>
  <c r="Q141" i="3"/>
  <c r="P141" i="3"/>
  <c r="Q140" i="3"/>
  <c r="P140" i="3"/>
  <c r="Q139" i="3"/>
  <c r="P139" i="3"/>
  <c r="Q138" i="3"/>
  <c r="P138" i="3"/>
  <c r="Q136" i="3"/>
  <c r="P136" i="3"/>
  <c r="Q135" i="3"/>
  <c r="P135" i="3"/>
  <c r="Q134" i="3"/>
  <c r="P134" i="3"/>
  <c r="Q133" i="3"/>
  <c r="P133" i="3"/>
  <c r="Q132" i="3"/>
  <c r="P132" i="3"/>
  <c r="Q131" i="3"/>
  <c r="P131" i="3"/>
  <c r="Q130" i="3"/>
  <c r="P130" i="3"/>
  <c r="Q129" i="3"/>
  <c r="P129" i="3"/>
  <c r="Q128" i="3"/>
  <c r="P128" i="3"/>
  <c r="Q127" i="3"/>
  <c r="P127" i="3"/>
  <c r="Q126" i="3"/>
  <c r="P126" i="3"/>
  <c r="Q125" i="3"/>
  <c r="P125" i="3"/>
  <c r="Q124" i="3"/>
  <c r="P124" i="3"/>
  <c r="Q123" i="3"/>
  <c r="P123" i="3"/>
  <c r="Q122" i="3"/>
  <c r="P122" i="3"/>
  <c r="Q121" i="3"/>
  <c r="P121" i="3"/>
  <c r="Q120" i="3"/>
  <c r="P120" i="3"/>
  <c r="Q119" i="3"/>
  <c r="P119" i="3"/>
  <c r="Q117" i="3"/>
  <c r="P117" i="3"/>
  <c r="Q116" i="3"/>
  <c r="P116" i="3"/>
  <c r="Q115" i="3"/>
  <c r="P115" i="3"/>
  <c r="Q114" i="3"/>
  <c r="P114" i="3"/>
  <c r="Q113" i="3"/>
  <c r="P113" i="3"/>
  <c r="Q111" i="3"/>
  <c r="P111" i="3"/>
  <c r="Q110" i="3"/>
  <c r="P110" i="3"/>
  <c r="Q109" i="3"/>
  <c r="P109" i="3"/>
  <c r="Q108" i="3"/>
  <c r="P108" i="3"/>
  <c r="Q107" i="3"/>
  <c r="P107" i="3"/>
  <c r="Q106" i="3"/>
  <c r="P106" i="3"/>
  <c r="Q6" i="3"/>
  <c r="Q7" i="3"/>
  <c r="Q8" i="3"/>
  <c r="Q9" i="3"/>
  <c r="Q10" i="3"/>
  <c r="Q11" i="3"/>
  <c r="Q13" i="3"/>
  <c r="Q14" i="3"/>
  <c r="Q15" i="3"/>
  <c r="Q16" i="3"/>
  <c r="Q17" i="3"/>
  <c r="Q19" i="3"/>
  <c r="Q20" i="3"/>
  <c r="Q21" i="3"/>
  <c r="Q22" i="3"/>
  <c r="Q23" i="3"/>
  <c r="Q24" i="3"/>
  <c r="Q25" i="3"/>
  <c r="Q26" i="3"/>
  <c r="Q27" i="3"/>
  <c r="Q28" i="3"/>
  <c r="Q29" i="3"/>
  <c r="Q30" i="3"/>
  <c r="Q31" i="3"/>
  <c r="Q32" i="3"/>
  <c r="Q33" i="3"/>
  <c r="Q34" i="3"/>
  <c r="Q35" i="3"/>
  <c r="Q36" i="3"/>
  <c r="Q38" i="3"/>
  <c r="Q39" i="3"/>
  <c r="Q40" i="3"/>
  <c r="Q41" i="3"/>
  <c r="Q42" i="3"/>
  <c r="Q43" i="3"/>
  <c r="Q44" i="3"/>
  <c r="Q45" i="3"/>
  <c r="Q46" i="3"/>
  <c r="Q47" i="3"/>
  <c r="Q48" i="3"/>
  <c r="Q49" i="3"/>
  <c r="Q50" i="3"/>
  <c r="Q57" i="3"/>
  <c r="Q58" i="3"/>
  <c r="Q59" i="3"/>
  <c r="Q60" i="3"/>
  <c r="Q61" i="3"/>
  <c r="Q62" i="3"/>
  <c r="Q63" i="3"/>
  <c r="Q64" i="3"/>
  <c r="Q65" i="3"/>
  <c r="Q66" i="3"/>
  <c r="Q68" i="3"/>
  <c r="Q69" i="3"/>
  <c r="Q70" i="3"/>
  <c r="Q71" i="3"/>
  <c r="Q74" i="3"/>
  <c r="Q77" i="3"/>
  <c r="Q78" i="3"/>
  <c r="Q79" i="3"/>
  <c r="Q80" i="3"/>
  <c r="Q81" i="3"/>
  <c r="Q82" i="3"/>
  <c r="Q83" i="3"/>
  <c r="Q86" i="3"/>
  <c r="Q89" i="3"/>
  <c r="Q92" i="3"/>
  <c r="Q93" i="3"/>
  <c r="Q94" i="3"/>
  <c r="Q95" i="3"/>
  <c r="Q96" i="3"/>
  <c r="Q97" i="3"/>
  <c r="Q98" i="3"/>
  <c r="Q99" i="3"/>
  <c r="Q100" i="3"/>
  <c r="Q101" i="3"/>
  <c r="Q102" i="3"/>
  <c r="P80" i="3"/>
  <c r="P61" i="3"/>
  <c r="P62" i="3"/>
  <c r="P63" i="3"/>
  <c r="P64" i="3"/>
  <c r="P65" i="3"/>
  <c r="P66" i="3"/>
  <c r="P68" i="3"/>
  <c r="P69" i="3"/>
  <c r="P70" i="3"/>
  <c r="P71" i="3"/>
  <c r="P74" i="3"/>
  <c r="P77" i="3"/>
  <c r="P78" i="3"/>
  <c r="P79" i="3"/>
  <c r="P81" i="3"/>
  <c r="P82" i="3"/>
  <c r="P83" i="3"/>
  <c r="P86" i="3"/>
  <c r="P89" i="3"/>
  <c r="P92" i="3"/>
  <c r="P93" i="3"/>
  <c r="P94" i="3"/>
  <c r="P95" i="3"/>
  <c r="P96" i="3"/>
  <c r="P97" i="3"/>
  <c r="P98" i="3"/>
  <c r="P99" i="3"/>
  <c r="P100" i="3"/>
  <c r="P101" i="3"/>
  <c r="P102" i="3"/>
  <c r="P45" i="3"/>
  <c r="P38" i="3"/>
  <c r="P39" i="3"/>
  <c r="P40" i="3"/>
  <c r="P41" i="3"/>
  <c r="P42" i="3"/>
  <c r="P43" i="3"/>
  <c r="P44" i="3"/>
  <c r="P46" i="3"/>
  <c r="P47" i="3"/>
  <c r="P48" i="3"/>
  <c r="P49" i="3"/>
  <c r="P50" i="3"/>
  <c r="P57" i="3"/>
  <c r="P58" i="3"/>
  <c r="P59" i="3"/>
  <c r="P60" i="3"/>
  <c r="P19" i="3"/>
  <c r="P20" i="3"/>
  <c r="P21" i="3"/>
  <c r="P22" i="3"/>
  <c r="P23" i="3"/>
  <c r="P24" i="3"/>
  <c r="P25" i="3"/>
  <c r="P26" i="3"/>
  <c r="P27" i="3"/>
  <c r="P28" i="3"/>
  <c r="P29" i="3"/>
  <c r="P30" i="3"/>
  <c r="P31" i="3"/>
  <c r="P32" i="3"/>
  <c r="P33" i="3"/>
  <c r="P34" i="3"/>
  <c r="P35" i="3"/>
  <c r="P36" i="3"/>
  <c r="P6" i="3"/>
  <c r="P7" i="3"/>
  <c r="P9" i="3"/>
  <c r="P10" i="3"/>
  <c r="P11" i="3"/>
  <c r="P13" i="3"/>
  <c r="P14" i="3"/>
  <c r="P15" i="3"/>
  <c r="P16" i="3"/>
  <c r="P17" i="3"/>
  <c r="Q6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4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8" i="1"/>
  <c r="Q109" i="1"/>
  <c r="Q110" i="1"/>
  <c r="Q111" i="1"/>
  <c r="Q112" i="1"/>
  <c r="Q113" i="1"/>
  <c r="Q114" i="1"/>
  <c r="Q116" i="1"/>
  <c r="Q117" i="1"/>
  <c r="Q118" i="1"/>
  <c r="Q119" i="1"/>
  <c r="Q136" i="1"/>
  <c r="Q137" i="1"/>
  <c r="Q138" i="1"/>
  <c r="Q158" i="1"/>
  <c r="Q160" i="1"/>
  <c r="Q161" i="1"/>
  <c r="Q162" i="1"/>
  <c r="Q163" i="1"/>
  <c r="Q164" i="1"/>
  <c r="R109" i="1"/>
  <c r="X109" i="1" s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8" i="1"/>
  <c r="P109" i="1"/>
  <c r="P110" i="1"/>
  <c r="P111" i="1"/>
  <c r="P112" i="1"/>
  <c r="P113" i="1"/>
  <c r="P114" i="1"/>
  <c r="P116" i="1"/>
  <c r="P117" i="1"/>
  <c r="P118" i="1"/>
  <c r="P119" i="1"/>
  <c r="P136" i="1"/>
  <c r="P137" i="1"/>
  <c r="P138" i="1"/>
  <c r="P158" i="1"/>
  <c r="P160" i="1"/>
  <c r="P161" i="1"/>
  <c r="P162" i="1"/>
  <c r="P163" i="1"/>
  <c r="P164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4" i="1"/>
  <c r="P26" i="1"/>
  <c r="P27" i="1"/>
  <c r="P6" i="1"/>
  <c r="R121" i="1"/>
  <c r="X121" i="1" s="1"/>
  <c r="J26" i="5"/>
  <c r="K26" i="5"/>
  <c r="U29" i="4"/>
  <c r="R437" i="3"/>
  <c r="S437" i="3" s="1"/>
  <c r="R337" i="3"/>
  <c r="S337" i="3" s="1"/>
  <c r="R237" i="3"/>
  <c r="S237" i="3" s="1"/>
  <c r="R137" i="3"/>
  <c r="S137" i="3" s="1"/>
  <c r="R37" i="3"/>
  <c r="S37" i="3" s="1"/>
  <c r="T29" i="4"/>
  <c r="T30" i="4"/>
  <c r="T31" i="4"/>
  <c r="T32" i="4"/>
  <c r="T33" i="4"/>
  <c r="R102" i="1"/>
  <c r="X102" i="1" s="1"/>
  <c r="R76" i="1"/>
  <c r="X76" i="1" s="1"/>
  <c r="R74" i="1"/>
  <c r="X74" i="1" s="1"/>
  <c r="S65" i="1"/>
  <c r="Y65" i="1" s="1"/>
  <c r="T65" i="1"/>
  <c r="Z65" i="1" s="1"/>
  <c r="U65" i="1"/>
  <c r="AA65" i="1" s="1"/>
  <c r="V65" i="1"/>
  <c r="AB65" i="1" s="1"/>
  <c r="W65" i="1"/>
  <c r="AC65" i="1" s="1"/>
  <c r="R163" i="1"/>
  <c r="X163" i="1" s="1"/>
  <c r="R161" i="1"/>
  <c r="X161" i="1" s="1"/>
  <c r="R160" i="1"/>
  <c r="X160" i="1" s="1"/>
  <c r="R158" i="1"/>
  <c r="X158" i="1" s="1"/>
  <c r="R157" i="1"/>
  <c r="X157" i="1" s="1"/>
  <c r="R156" i="1"/>
  <c r="X156" i="1" s="1"/>
  <c r="R155" i="1"/>
  <c r="X155" i="1" s="1"/>
  <c r="R154" i="1"/>
  <c r="X154" i="1" s="1"/>
  <c r="R153" i="1"/>
  <c r="X153" i="1" s="1"/>
  <c r="R152" i="1"/>
  <c r="X152" i="1" s="1"/>
  <c r="R151" i="1"/>
  <c r="X151" i="1" s="1"/>
  <c r="R150" i="1"/>
  <c r="X150" i="1" s="1"/>
  <c r="R149" i="1"/>
  <c r="X149" i="1" s="1"/>
  <c r="R148" i="1"/>
  <c r="X148" i="1" s="1"/>
  <c r="R147" i="1"/>
  <c r="X147" i="1" s="1"/>
  <c r="R146" i="1"/>
  <c r="X146" i="1" s="1"/>
  <c r="R145" i="1"/>
  <c r="X145" i="1" s="1"/>
  <c r="R144" i="1"/>
  <c r="X144" i="1" s="1"/>
  <c r="R143" i="1"/>
  <c r="X143" i="1" s="1"/>
  <c r="R142" i="1"/>
  <c r="X142" i="1" s="1"/>
  <c r="R141" i="1"/>
  <c r="X141" i="1" s="1"/>
  <c r="R140" i="1"/>
  <c r="X140" i="1" s="1"/>
  <c r="R138" i="1"/>
  <c r="X138" i="1" s="1"/>
  <c r="R136" i="1"/>
  <c r="X136" i="1" s="1"/>
  <c r="R135" i="1"/>
  <c r="X135" i="1" s="1"/>
  <c r="R134" i="1"/>
  <c r="X134" i="1" s="1"/>
  <c r="R133" i="1"/>
  <c r="X133" i="1" s="1"/>
  <c r="R132" i="1"/>
  <c r="X132" i="1" s="1"/>
  <c r="R131" i="1"/>
  <c r="X131" i="1" s="1"/>
  <c r="R130" i="1"/>
  <c r="X130" i="1" s="1"/>
  <c r="R129" i="1"/>
  <c r="X129" i="1" s="1"/>
  <c r="R128" i="1"/>
  <c r="X128" i="1" s="1"/>
  <c r="R127" i="1"/>
  <c r="X127" i="1" s="1"/>
  <c r="R126" i="1"/>
  <c r="X126" i="1" s="1"/>
  <c r="R125" i="1"/>
  <c r="X125" i="1" s="1"/>
  <c r="R124" i="1"/>
  <c r="X124" i="1" s="1"/>
  <c r="R123" i="1"/>
  <c r="X123" i="1" s="1"/>
  <c r="R122" i="1"/>
  <c r="X122" i="1" s="1"/>
  <c r="R119" i="1"/>
  <c r="X119" i="1" s="1"/>
  <c r="R114" i="1"/>
  <c r="X114" i="1" s="1"/>
  <c r="R113" i="1"/>
  <c r="X113" i="1" s="1"/>
  <c r="R112" i="1"/>
  <c r="X112" i="1" s="1"/>
  <c r="R111" i="1"/>
  <c r="X111" i="1" s="1"/>
  <c r="R108" i="1"/>
  <c r="X108" i="1" s="1"/>
  <c r="R106" i="1"/>
  <c r="X106" i="1" s="1"/>
  <c r="R103" i="1"/>
  <c r="X103" i="1" s="1"/>
  <c r="R100" i="1"/>
  <c r="X100" i="1" s="1"/>
  <c r="R96" i="1"/>
  <c r="X96" i="1" s="1"/>
  <c r="R95" i="1"/>
  <c r="X95" i="1" s="1"/>
  <c r="R94" i="1"/>
  <c r="X94" i="1" s="1"/>
  <c r="R93" i="1"/>
  <c r="X93" i="1" s="1"/>
  <c r="R91" i="1"/>
  <c r="X91" i="1" s="1"/>
  <c r="R87" i="1"/>
  <c r="X87" i="1" s="1"/>
  <c r="R86" i="1"/>
  <c r="X86" i="1" s="1"/>
  <c r="R85" i="1"/>
  <c r="X85" i="1" s="1"/>
  <c r="R84" i="1"/>
  <c r="X84" i="1" s="1"/>
  <c r="R82" i="1"/>
  <c r="X82" i="1" s="1"/>
  <c r="R81" i="1"/>
  <c r="X81" i="1" s="1"/>
  <c r="R80" i="1"/>
  <c r="X80" i="1" s="1"/>
  <c r="R79" i="1"/>
  <c r="X79" i="1" s="1"/>
  <c r="R78" i="1"/>
  <c r="X78" i="1" s="1"/>
  <c r="R72" i="1"/>
  <c r="X72" i="1" s="1"/>
  <c r="R70" i="1"/>
  <c r="X70" i="1" s="1"/>
  <c r="R69" i="1"/>
  <c r="X69" i="1" s="1"/>
  <c r="R65" i="1"/>
  <c r="X65" i="1" s="1"/>
  <c r="AC58" i="1"/>
  <c r="AB58" i="1"/>
  <c r="AA58" i="1"/>
  <c r="Z58" i="1"/>
  <c r="Y58" i="1"/>
  <c r="X58" i="1"/>
  <c r="W57" i="1"/>
  <c r="AC57" i="1" s="1"/>
  <c r="V57" i="1"/>
  <c r="AB57" i="1" s="1"/>
  <c r="U57" i="1"/>
  <c r="AA57" i="1" s="1"/>
  <c r="T57" i="1"/>
  <c r="Z57" i="1" s="1"/>
  <c r="S57" i="1"/>
  <c r="Y57" i="1" s="1"/>
  <c r="R57" i="1"/>
  <c r="X57" i="1" s="1"/>
  <c r="W56" i="1"/>
  <c r="AC56" i="1" s="1"/>
  <c r="V56" i="1"/>
  <c r="AB56" i="1" s="1"/>
  <c r="U56" i="1"/>
  <c r="AA56" i="1" s="1"/>
  <c r="T56" i="1"/>
  <c r="Z56" i="1" s="1"/>
  <c r="S56" i="1"/>
  <c r="Y56" i="1" s="1"/>
  <c r="R56" i="1"/>
  <c r="X56" i="1" s="1"/>
  <c r="AC51" i="1"/>
  <c r="AB51" i="1"/>
  <c r="AA51" i="1"/>
  <c r="Z51" i="1"/>
  <c r="Y51" i="1"/>
  <c r="X51" i="1"/>
  <c r="W50" i="1"/>
  <c r="AC50" i="1" s="1"/>
  <c r="V50" i="1"/>
  <c r="AB50" i="1" s="1"/>
  <c r="U50" i="1"/>
  <c r="AA50" i="1" s="1"/>
  <c r="T50" i="1"/>
  <c r="Z50" i="1" s="1"/>
  <c r="S50" i="1"/>
  <c r="Y50" i="1" s="1"/>
  <c r="R50" i="1"/>
  <c r="X50" i="1" s="1"/>
  <c r="W49" i="1"/>
  <c r="AC49" i="1" s="1"/>
  <c r="V49" i="1"/>
  <c r="AB49" i="1" s="1"/>
  <c r="U49" i="1"/>
  <c r="AA49" i="1" s="1"/>
  <c r="T49" i="1"/>
  <c r="Z49" i="1" s="1"/>
  <c r="S49" i="1"/>
  <c r="Y49" i="1" s="1"/>
  <c r="R49" i="1"/>
  <c r="X49" i="1" s="1"/>
  <c r="W46" i="1"/>
  <c r="AC46" i="1" s="1"/>
  <c r="V46" i="1"/>
  <c r="AB46" i="1" s="1"/>
  <c r="U46" i="1"/>
  <c r="AA46" i="1" s="1"/>
  <c r="T46" i="1"/>
  <c r="Z46" i="1" s="1"/>
  <c r="S46" i="1"/>
  <c r="Y46" i="1" s="1"/>
  <c r="R46" i="1"/>
  <c r="X46" i="1" s="1"/>
  <c r="W45" i="1"/>
  <c r="AC45" i="1" s="1"/>
  <c r="V45" i="1"/>
  <c r="AB45" i="1" s="1"/>
  <c r="U45" i="1"/>
  <c r="AA45" i="1" s="1"/>
  <c r="T45" i="1"/>
  <c r="Z45" i="1" s="1"/>
  <c r="S45" i="1"/>
  <c r="Y45" i="1" s="1"/>
  <c r="R45" i="1"/>
  <c r="X45" i="1" s="1"/>
  <c r="W43" i="1"/>
  <c r="AC43" i="1" s="1"/>
  <c r="V43" i="1"/>
  <c r="AB43" i="1" s="1"/>
  <c r="U43" i="1"/>
  <c r="AA43" i="1" s="1"/>
  <c r="T43" i="1"/>
  <c r="Z43" i="1" s="1"/>
  <c r="S43" i="1"/>
  <c r="Y43" i="1" s="1"/>
  <c r="R43" i="1"/>
  <c r="X43" i="1" s="1"/>
  <c r="W42" i="1"/>
  <c r="AC42" i="1" s="1"/>
  <c r="V42" i="1"/>
  <c r="AB42" i="1" s="1"/>
  <c r="U42" i="1"/>
  <c r="AA42" i="1" s="1"/>
  <c r="T42" i="1"/>
  <c r="Z42" i="1" s="1"/>
  <c r="S42" i="1"/>
  <c r="Y42" i="1" s="1"/>
  <c r="R42" i="1"/>
  <c r="X42" i="1" s="1"/>
  <c r="W41" i="1"/>
  <c r="AC41" i="1" s="1"/>
  <c r="V41" i="1"/>
  <c r="AB41" i="1" s="1"/>
  <c r="U41" i="1"/>
  <c r="AA41" i="1" s="1"/>
  <c r="T41" i="1"/>
  <c r="Z41" i="1" s="1"/>
  <c r="S41" i="1"/>
  <c r="Y41" i="1" s="1"/>
  <c r="R41" i="1"/>
  <c r="X41" i="1" s="1"/>
  <c r="W40" i="1"/>
  <c r="AC40" i="1" s="1"/>
  <c r="V40" i="1"/>
  <c r="AB40" i="1" s="1"/>
  <c r="U40" i="1"/>
  <c r="AA40" i="1" s="1"/>
  <c r="T40" i="1"/>
  <c r="Z40" i="1" s="1"/>
  <c r="S40" i="1"/>
  <c r="Y40" i="1" s="1"/>
  <c r="R40" i="1"/>
  <c r="X40" i="1" s="1"/>
  <c r="W39" i="1"/>
  <c r="AC39" i="1" s="1"/>
  <c r="V39" i="1"/>
  <c r="AB39" i="1" s="1"/>
  <c r="U39" i="1"/>
  <c r="AA39" i="1" s="1"/>
  <c r="T39" i="1"/>
  <c r="Z39" i="1" s="1"/>
  <c r="S39" i="1"/>
  <c r="Y39" i="1" s="1"/>
  <c r="R39" i="1"/>
  <c r="X39" i="1" s="1"/>
  <c r="W38" i="1"/>
  <c r="AC38" i="1" s="1"/>
  <c r="V38" i="1"/>
  <c r="AB38" i="1" s="1"/>
  <c r="U38" i="1"/>
  <c r="AA38" i="1" s="1"/>
  <c r="T38" i="1"/>
  <c r="Z38" i="1" s="1"/>
  <c r="S38" i="1"/>
  <c r="Y38" i="1" s="1"/>
  <c r="R38" i="1"/>
  <c r="X38" i="1" s="1"/>
  <c r="W36" i="1"/>
  <c r="AC36" i="1" s="1"/>
  <c r="V36" i="1"/>
  <c r="AB36" i="1" s="1"/>
  <c r="U36" i="1"/>
  <c r="AA36" i="1" s="1"/>
  <c r="T36" i="1"/>
  <c r="Z36" i="1" s="1"/>
  <c r="S36" i="1"/>
  <c r="Y36" i="1" s="1"/>
  <c r="R36" i="1"/>
  <c r="X36" i="1" s="1"/>
  <c r="W35" i="1"/>
  <c r="AC35" i="1" s="1"/>
  <c r="V35" i="1"/>
  <c r="AB35" i="1" s="1"/>
  <c r="U35" i="1"/>
  <c r="AA35" i="1" s="1"/>
  <c r="T35" i="1"/>
  <c r="Z35" i="1" s="1"/>
  <c r="S35" i="1"/>
  <c r="Y35" i="1" s="1"/>
  <c r="R35" i="1"/>
  <c r="X35" i="1" s="1"/>
  <c r="W34" i="1"/>
  <c r="AC34" i="1" s="1"/>
  <c r="V34" i="1"/>
  <c r="AB34" i="1" s="1"/>
  <c r="U34" i="1"/>
  <c r="AA34" i="1" s="1"/>
  <c r="T34" i="1"/>
  <c r="Z34" i="1" s="1"/>
  <c r="S34" i="1"/>
  <c r="Y34" i="1" s="1"/>
  <c r="R34" i="1"/>
  <c r="X34" i="1" s="1"/>
  <c r="W33" i="1"/>
  <c r="AC33" i="1" s="1"/>
  <c r="V33" i="1"/>
  <c r="AB33" i="1" s="1"/>
  <c r="U33" i="1"/>
  <c r="AA33" i="1" s="1"/>
  <c r="T33" i="1"/>
  <c r="Z33" i="1" s="1"/>
  <c r="S33" i="1"/>
  <c r="Y33" i="1" s="1"/>
  <c r="R33" i="1"/>
  <c r="X33" i="1" s="1"/>
  <c r="W32" i="1"/>
  <c r="AC32" i="1" s="1"/>
  <c r="V32" i="1"/>
  <c r="AB32" i="1" s="1"/>
  <c r="U32" i="1"/>
  <c r="AA32" i="1" s="1"/>
  <c r="T32" i="1"/>
  <c r="Z32" i="1" s="1"/>
  <c r="S32" i="1"/>
  <c r="Y32" i="1" s="1"/>
  <c r="R32" i="1"/>
  <c r="X32" i="1" s="1"/>
  <c r="W31" i="1"/>
  <c r="AC31" i="1" s="1"/>
  <c r="V31" i="1"/>
  <c r="AB31" i="1" s="1"/>
  <c r="U31" i="1"/>
  <c r="AA31" i="1" s="1"/>
  <c r="T31" i="1"/>
  <c r="Z31" i="1" s="1"/>
  <c r="S31" i="1"/>
  <c r="Y31" i="1" s="1"/>
  <c r="R31" i="1"/>
  <c r="X31" i="1" s="1"/>
  <c r="W30" i="1"/>
  <c r="AC30" i="1" s="1"/>
  <c r="V30" i="1"/>
  <c r="AB30" i="1" s="1"/>
  <c r="U30" i="1"/>
  <c r="AA30" i="1" s="1"/>
  <c r="T30" i="1"/>
  <c r="Z30" i="1" s="1"/>
  <c r="S30" i="1"/>
  <c r="Y30" i="1" s="1"/>
  <c r="R30" i="1"/>
  <c r="X30" i="1" s="1"/>
  <c r="W29" i="1"/>
  <c r="AC29" i="1" s="1"/>
  <c r="V29" i="1"/>
  <c r="AB29" i="1" s="1"/>
  <c r="U29" i="1"/>
  <c r="AA29" i="1" s="1"/>
  <c r="T29" i="1"/>
  <c r="Z29" i="1" s="1"/>
  <c r="S29" i="1"/>
  <c r="Y29" i="1" s="1"/>
  <c r="R29" i="1"/>
  <c r="X29" i="1" s="1"/>
  <c r="R7" i="1"/>
  <c r="R16" i="1"/>
  <c r="X16" i="1" s="1"/>
  <c r="R18" i="1"/>
  <c r="X18" i="1" s="1"/>
  <c r="R353" i="1"/>
  <c r="R352" i="1"/>
  <c r="R351" i="1"/>
  <c r="R350" i="1"/>
  <c r="R349" i="1"/>
  <c r="R348" i="1"/>
  <c r="R347" i="1"/>
  <c r="R346" i="1"/>
  <c r="R345" i="1"/>
  <c r="R344" i="1"/>
  <c r="R341" i="1"/>
  <c r="R340" i="1"/>
  <c r="R339" i="1"/>
  <c r="R319" i="1"/>
  <c r="R318" i="1"/>
  <c r="R317" i="1"/>
  <c r="R316" i="1"/>
  <c r="R315" i="1"/>
  <c r="R314" i="1"/>
  <c r="R313" i="1"/>
  <c r="R312" i="1"/>
  <c r="R311" i="1"/>
  <c r="R310" i="1"/>
  <c r="R309" i="1"/>
  <c r="R306" i="1"/>
  <c r="R305" i="1"/>
  <c r="R304" i="1"/>
  <c r="R284" i="1"/>
  <c r="R283" i="1"/>
  <c r="R282" i="1"/>
  <c r="R281" i="1"/>
  <c r="R280" i="1"/>
  <c r="R279" i="1"/>
  <c r="R278" i="1"/>
  <c r="R277" i="1"/>
  <c r="R276" i="1"/>
  <c r="R275" i="1"/>
  <c r="R274" i="1"/>
  <c r="R271" i="1"/>
  <c r="R270" i="1"/>
  <c r="R269" i="1"/>
  <c r="R249" i="1"/>
  <c r="R248" i="1"/>
  <c r="R247" i="1"/>
  <c r="R246" i="1"/>
  <c r="R245" i="1"/>
  <c r="R244" i="1"/>
  <c r="R243" i="1"/>
  <c r="R242" i="1"/>
  <c r="R241" i="1"/>
  <c r="R240" i="1"/>
  <c r="R239" i="1"/>
  <c r="R236" i="1"/>
  <c r="R235" i="1"/>
  <c r="R234" i="1"/>
  <c r="R214" i="1"/>
  <c r="R213" i="1"/>
  <c r="R212" i="1"/>
  <c r="R211" i="1"/>
  <c r="R210" i="1"/>
  <c r="R209" i="1"/>
  <c r="R208" i="1"/>
  <c r="R207" i="1"/>
  <c r="R206" i="1"/>
  <c r="R205" i="1"/>
  <c r="R204" i="1"/>
  <c r="R201" i="1"/>
  <c r="R200" i="1"/>
  <c r="R199" i="1"/>
  <c r="R179" i="1"/>
  <c r="R178" i="1"/>
  <c r="R177" i="1"/>
  <c r="R176" i="1"/>
  <c r="R175" i="1"/>
  <c r="R174" i="1"/>
  <c r="R173" i="1"/>
  <c r="R172" i="1"/>
  <c r="R171" i="1"/>
  <c r="R170" i="1"/>
  <c r="R169" i="1"/>
  <c r="R166" i="1"/>
  <c r="R165" i="1"/>
  <c r="X165" i="1" s="1"/>
  <c r="R164" i="1"/>
  <c r="X164" i="1" s="1"/>
  <c r="R110" i="3"/>
  <c r="S110" i="3" s="1"/>
  <c r="R113" i="3"/>
  <c r="S113" i="3" s="1"/>
  <c r="R115" i="3"/>
  <c r="S115" i="3" s="1"/>
  <c r="R117" i="3"/>
  <c r="S117" i="3" s="1"/>
  <c r="R119" i="3"/>
  <c r="S119" i="3" s="1"/>
  <c r="R120" i="3"/>
  <c r="S120" i="3" s="1"/>
  <c r="R122" i="3"/>
  <c r="S122" i="3" s="1"/>
  <c r="R123" i="3"/>
  <c r="S123" i="3" s="1"/>
  <c r="R124" i="3"/>
  <c r="S124" i="3" s="1"/>
  <c r="R125" i="3"/>
  <c r="S125" i="3" s="1"/>
  <c r="R126" i="3"/>
  <c r="S126" i="3" s="1"/>
  <c r="R129" i="3"/>
  <c r="S129" i="3" s="1"/>
  <c r="R131" i="3"/>
  <c r="S131" i="3" s="1"/>
  <c r="R133" i="3"/>
  <c r="S133" i="3" s="1"/>
  <c r="R135" i="3"/>
  <c r="S135" i="3" s="1"/>
  <c r="R138" i="3"/>
  <c r="S138" i="3" s="1"/>
  <c r="R141" i="3"/>
  <c r="S141" i="3" s="1"/>
  <c r="R143" i="3"/>
  <c r="S143" i="3" s="1"/>
  <c r="R149" i="3"/>
  <c r="S149" i="3" s="1"/>
  <c r="R151" i="3"/>
  <c r="S151" i="3" s="1"/>
  <c r="R152" i="3"/>
  <c r="S152" i="3" s="1"/>
  <c r="R153" i="3"/>
  <c r="S153" i="3" s="1"/>
  <c r="R154" i="3"/>
  <c r="S154" i="3" s="1"/>
  <c r="R155" i="3"/>
  <c r="S155" i="3" s="1"/>
  <c r="R160" i="3"/>
  <c r="S160" i="3" s="1"/>
  <c r="R161" i="3"/>
  <c r="S161" i="3" s="1"/>
  <c r="R162" i="3"/>
  <c r="S162" i="3" s="1"/>
  <c r="R163" i="3"/>
  <c r="S163" i="3" s="1"/>
  <c r="R164" i="3"/>
  <c r="S164" i="3" s="1"/>
  <c r="R165" i="3"/>
  <c r="S165" i="3" s="1"/>
  <c r="R169" i="3"/>
  <c r="S169" i="3" s="1"/>
  <c r="R180" i="3"/>
  <c r="S180" i="3" s="1"/>
  <c r="R181" i="3"/>
  <c r="S181" i="3" s="1"/>
  <c r="R182" i="3"/>
  <c r="S182" i="3" s="1"/>
  <c r="R194" i="3"/>
  <c r="S194" i="3" s="1"/>
  <c r="R195" i="3"/>
  <c r="S195" i="3" s="1"/>
  <c r="R197" i="3"/>
  <c r="S197" i="3" s="1"/>
  <c r="R199" i="3"/>
  <c r="S199" i="3" s="1"/>
  <c r="R210" i="3"/>
  <c r="S210" i="3" s="1"/>
  <c r="R213" i="3"/>
  <c r="S213" i="3" s="1"/>
  <c r="R215" i="3"/>
  <c r="S215" i="3" s="1"/>
  <c r="R217" i="3"/>
  <c r="S217" i="3" s="1"/>
  <c r="R219" i="3"/>
  <c r="S219" i="3" s="1"/>
  <c r="R220" i="3"/>
  <c r="S220" i="3" s="1"/>
  <c r="R222" i="3"/>
  <c r="S222" i="3" s="1"/>
  <c r="R223" i="3"/>
  <c r="S223" i="3" s="1"/>
  <c r="R224" i="3"/>
  <c r="S224" i="3" s="1"/>
  <c r="R225" i="3"/>
  <c r="S225" i="3" s="1"/>
  <c r="R226" i="3"/>
  <c r="S226" i="3" s="1"/>
  <c r="R229" i="3"/>
  <c r="S229" i="3" s="1"/>
  <c r="R231" i="3"/>
  <c r="S231" i="3" s="1"/>
  <c r="R233" i="3"/>
  <c r="S233" i="3" s="1"/>
  <c r="R235" i="3"/>
  <c r="S235" i="3" s="1"/>
  <c r="R238" i="3"/>
  <c r="S238" i="3" s="1"/>
  <c r="R241" i="3"/>
  <c r="S241" i="3" s="1"/>
  <c r="R243" i="3"/>
  <c r="S243" i="3" s="1"/>
  <c r="R249" i="3"/>
  <c r="S249" i="3" s="1"/>
  <c r="R251" i="3"/>
  <c r="S251" i="3" s="1"/>
  <c r="R252" i="3"/>
  <c r="S252" i="3" s="1"/>
  <c r="R253" i="3"/>
  <c r="S253" i="3" s="1"/>
  <c r="R254" i="3"/>
  <c r="S254" i="3" s="1"/>
  <c r="R255" i="3"/>
  <c r="S255" i="3" s="1"/>
  <c r="R260" i="3"/>
  <c r="S260" i="3" s="1"/>
  <c r="R261" i="3"/>
  <c r="S261" i="3" s="1"/>
  <c r="R262" i="3"/>
  <c r="S262" i="3" s="1"/>
  <c r="R263" i="3"/>
  <c r="S263" i="3" s="1"/>
  <c r="R264" i="3"/>
  <c r="S264" i="3" s="1"/>
  <c r="R265" i="3"/>
  <c r="S265" i="3" s="1"/>
  <c r="R269" i="3"/>
  <c r="S269" i="3" s="1"/>
  <c r="R280" i="3"/>
  <c r="S280" i="3" s="1"/>
  <c r="R281" i="3"/>
  <c r="S281" i="3" s="1"/>
  <c r="R282" i="3"/>
  <c r="S282" i="3" s="1"/>
  <c r="R294" i="3"/>
  <c r="S294" i="3" s="1"/>
  <c r="R295" i="3"/>
  <c r="S295" i="3" s="1"/>
  <c r="R297" i="3"/>
  <c r="S297" i="3" s="1"/>
  <c r="R299" i="3"/>
  <c r="S299" i="3" s="1"/>
  <c r="R310" i="3"/>
  <c r="S310" i="3" s="1"/>
  <c r="R313" i="3"/>
  <c r="S313" i="3" s="1"/>
  <c r="R315" i="3"/>
  <c r="S315" i="3" s="1"/>
  <c r="R317" i="3"/>
  <c r="S317" i="3" s="1"/>
  <c r="R319" i="3"/>
  <c r="S319" i="3" s="1"/>
  <c r="R320" i="3"/>
  <c r="S320" i="3" s="1"/>
  <c r="R322" i="3"/>
  <c r="S322" i="3" s="1"/>
  <c r="R323" i="3"/>
  <c r="S323" i="3" s="1"/>
  <c r="R324" i="3"/>
  <c r="S324" i="3" s="1"/>
  <c r="R325" i="3"/>
  <c r="S325" i="3" s="1"/>
  <c r="R326" i="3"/>
  <c r="S326" i="3" s="1"/>
  <c r="R329" i="3"/>
  <c r="S329" i="3" s="1"/>
  <c r="R331" i="3"/>
  <c r="S331" i="3" s="1"/>
  <c r="R333" i="3"/>
  <c r="S333" i="3" s="1"/>
  <c r="R335" i="3"/>
  <c r="S335" i="3" s="1"/>
  <c r="R338" i="3"/>
  <c r="S338" i="3" s="1"/>
  <c r="R341" i="3"/>
  <c r="S341" i="3" s="1"/>
  <c r="R343" i="3"/>
  <c r="S343" i="3" s="1"/>
  <c r="R349" i="3"/>
  <c r="S349" i="3" s="1"/>
  <c r="R351" i="3"/>
  <c r="S351" i="3" s="1"/>
  <c r="R352" i="3"/>
  <c r="S352" i="3" s="1"/>
  <c r="R353" i="3"/>
  <c r="S353" i="3" s="1"/>
  <c r="R354" i="3"/>
  <c r="S354" i="3" s="1"/>
  <c r="R355" i="3"/>
  <c r="S355" i="3" s="1"/>
  <c r="R360" i="3"/>
  <c r="S360" i="3" s="1"/>
  <c r="R361" i="3"/>
  <c r="S361" i="3" s="1"/>
  <c r="R362" i="3"/>
  <c r="S362" i="3" s="1"/>
  <c r="R363" i="3"/>
  <c r="S363" i="3" s="1"/>
  <c r="R364" i="3"/>
  <c r="S364" i="3" s="1"/>
  <c r="R365" i="3"/>
  <c r="S365" i="3" s="1"/>
  <c r="R369" i="3"/>
  <c r="S369" i="3" s="1"/>
  <c r="R380" i="3"/>
  <c r="S380" i="3" s="1"/>
  <c r="R381" i="3"/>
  <c r="S381" i="3" s="1"/>
  <c r="R382" i="3"/>
  <c r="S382" i="3" s="1"/>
  <c r="R394" i="3"/>
  <c r="S394" i="3" s="1"/>
  <c r="R395" i="3"/>
  <c r="S395" i="3" s="1"/>
  <c r="R397" i="3"/>
  <c r="S397" i="3" s="1"/>
  <c r="R399" i="3"/>
  <c r="S399" i="3" s="1"/>
  <c r="R410" i="3"/>
  <c r="S410" i="3" s="1"/>
  <c r="R413" i="3"/>
  <c r="S413" i="3" s="1"/>
  <c r="R415" i="3"/>
  <c r="S415" i="3" s="1"/>
  <c r="R417" i="3"/>
  <c r="S417" i="3" s="1"/>
  <c r="R419" i="3"/>
  <c r="S419" i="3" s="1"/>
  <c r="R420" i="3"/>
  <c r="S420" i="3" s="1"/>
  <c r="R422" i="3"/>
  <c r="S422" i="3" s="1"/>
  <c r="R423" i="3"/>
  <c r="S423" i="3" s="1"/>
  <c r="R424" i="3"/>
  <c r="S424" i="3" s="1"/>
  <c r="R425" i="3"/>
  <c r="S425" i="3" s="1"/>
  <c r="R426" i="3"/>
  <c r="S426" i="3" s="1"/>
  <c r="R429" i="3"/>
  <c r="S429" i="3" s="1"/>
  <c r="R431" i="3"/>
  <c r="S431" i="3" s="1"/>
  <c r="R433" i="3"/>
  <c r="S433" i="3" s="1"/>
  <c r="R435" i="3"/>
  <c r="S435" i="3" s="1"/>
  <c r="R438" i="3"/>
  <c r="S438" i="3" s="1"/>
  <c r="R441" i="3"/>
  <c r="S441" i="3" s="1"/>
  <c r="R443" i="3"/>
  <c r="S443" i="3" s="1"/>
  <c r="R449" i="3"/>
  <c r="S449" i="3" s="1"/>
  <c r="R451" i="3"/>
  <c r="S451" i="3" s="1"/>
  <c r="R452" i="3"/>
  <c r="S452" i="3" s="1"/>
  <c r="R453" i="3"/>
  <c r="S453" i="3" s="1"/>
  <c r="R454" i="3"/>
  <c r="S454" i="3" s="1"/>
  <c r="R455" i="3"/>
  <c r="S455" i="3" s="1"/>
  <c r="R460" i="3"/>
  <c r="S460" i="3" s="1"/>
  <c r="R461" i="3"/>
  <c r="S461" i="3" s="1"/>
  <c r="R462" i="3"/>
  <c r="S462" i="3" s="1"/>
  <c r="R463" i="3"/>
  <c r="S463" i="3" s="1"/>
  <c r="R464" i="3"/>
  <c r="S464" i="3" s="1"/>
  <c r="R465" i="3"/>
  <c r="S465" i="3" s="1"/>
  <c r="R469" i="3"/>
  <c r="S469" i="3" s="1"/>
  <c r="R480" i="3"/>
  <c r="S480" i="3" s="1"/>
  <c r="R481" i="3"/>
  <c r="S481" i="3" s="1"/>
  <c r="R482" i="3"/>
  <c r="S482" i="3" s="1"/>
  <c r="R494" i="3"/>
  <c r="S494" i="3" s="1"/>
  <c r="R495" i="3"/>
  <c r="S495" i="3" s="1"/>
  <c r="R497" i="3"/>
  <c r="S497" i="3" s="1"/>
  <c r="R499" i="3"/>
  <c r="S499" i="3" s="1"/>
  <c r="R94" i="3"/>
  <c r="S94" i="3" s="1"/>
  <c r="R38" i="3"/>
  <c r="S38" i="3" s="1"/>
  <c r="R26" i="3"/>
  <c r="S26" i="3" s="1"/>
  <c r="R24" i="3"/>
  <c r="S24" i="3" s="1"/>
  <c r="R99" i="3"/>
  <c r="S99" i="3" s="1"/>
  <c r="R97" i="3"/>
  <c r="S97" i="3" s="1"/>
  <c r="R95" i="3"/>
  <c r="S95" i="3" s="1"/>
  <c r="R82" i="3"/>
  <c r="S82" i="3" s="1"/>
  <c r="R81" i="3"/>
  <c r="S81" i="3" s="1"/>
  <c r="R80" i="3"/>
  <c r="S80" i="3" s="1"/>
  <c r="R69" i="3"/>
  <c r="S69" i="3" s="1"/>
  <c r="R65" i="3"/>
  <c r="S65" i="3" s="1"/>
  <c r="R64" i="3"/>
  <c r="S64" i="3" s="1"/>
  <c r="R63" i="3"/>
  <c r="S63" i="3" s="1"/>
  <c r="R62" i="3"/>
  <c r="S62" i="3" s="1"/>
  <c r="R61" i="3"/>
  <c r="S61" i="3" s="1"/>
  <c r="R60" i="3"/>
  <c r="S60" i="3" s="1"/>
  <c r="R55" i="3"/>
  <c r="S55" i="3" s="1"/>
  <c r="R54" i="3"/>
  <c r="S54" i="3" s="1"/>
  <c r="R53" i="3"/>
  <c r="S53" i="3" s="1"/>
  <c r="R52" i="3"/>
  <c r="S52" i="3" s="1"/>
  <c r="R51" i="3"/>
  <c r="S51" i="3" s="1"/>
  <c r="R49" i="3"/>
  <c r="S49" i="3" s="1"/>
  <c r="R43" i="3"/>
  <c r="S43" i="3" s="1"/>
  <c r="R41" i="3"/>
  <c r="S41" i="3" s="1"/>
  <c r="R35" i="3"/>
  <c r="S35" i="3" s="1"/>
  <c r="R33" i="3"/>
  <c r="S33" i="3" s="1"/>
  <c r="R31" i="3"/>
  <c r="S31" i="3" s="1"/>
  <c r="R29" i="3"/>
  <c r="S29" i="3" s="1"/>
  <c r="R25" i="3"/>
  <c r="S25" i="3" s="1"/>
  <c r="R23" i="3"/>
  <c r="S23" i="3" s="1"/>
  <c r="R22" i="3"/>
  <c r="S22" i="3" s="1"/>
  <c r="R20" i="3"/>
  <c r="S20" i="3" s="1"/>
  <c r="R19" i="3"/>
  <c r="S19" i="3" s="1"/>
  <c r="R17" i="3"/>
  <c r="S17" i="3" s="1"/>
  <c r="R15" i="3"/>
  <c r="S15" i="3" s="1"/>
  <c r="R13" i="3"/>
  <c r="S13" i="3" s="1"/>
  <c r="R10" i="3"/>
  <c r="S10" i="3" s="1"/>
  <c r="R8" i="3"/>
  <c r="S8" i="3"/>
  <c r="F14" i="6" a="1"/>
  <c r="F14" i="6"/>
  <c r="F19" i="6" a="1"/>
  <c r="F19" i="6"/>
  <c r="F21" i="6"/>
  <c r="F22" i="6"/>
  <c r="F23" i="6"/>
  <c r="L24" i="2"/>
  <c r="L25" i="2" s="1"/>
  <c r="L26" i="2" s="1"/>
  <c r="L27" i="2" s="1"/>
  <c r="L28" i="2" s="1"/>
  <c r="U5" i="5"/>
  <c r="U6" i="5"/>
  <c r="U7" i="5"/>
  <c r="U8" i="5"/>
  <c r="U9" i="5"/>
  <c r="U10" i="5"/>
  <c r="U11" i="5"/>
  <c r="U12" i="5"/>
  <c r="U13" i="5"/>
  <c r="U14" i="5"/>
  <c r="U15" i="5"/>
  <c r="U16" i="5"/>
  <c r="U17" i="5"/>
  <c r="U18" i="5"/>
  <c r="U19" i="5"/>
  <c r="U20" i="5"/>
  <c r="U21" i="5"/>
  <c r="U22" i="5"/>
  <c r="U23" i="5"/>
  <c r="U24" i="5"/>
  <c r="U25" i="5"/>
  <c r="U26" i="5"/>
  <c r="U4" i="5"/>
  <c r="B14" i="6" a="1"/>
  <c r="B14" i="6"/>
  <c r="C22" i="6"/>
  <c r="D22" i="6"/>
  <c r="E22" i="6"/>
  <c r="C23" i="6"/>
  <c r="D23" i="6"/>
  <c r="E23" i="6"/>
  <c r="E21" i="6"/>
  <c r="D21" i="6"/>
  <c r="C21" i="6"/>
  <c r="C14" i="6" a="1"/>
  <c r="C14" i="6"/>
  <c r="D14" i="6" a="1"/>
  <c r="D14" i="6"/>
  <c r="E14" i="6" a="1"/>
  <c r="E14" i="6"/>
  <c r="C19" i="6" a="1"/>
  <c r="C19" i="6"/>
  <c r="D19" i="6" a="1"/>
  <c r="D19" i="6"/>
  <c r="E19" i="6" a="1"/>
  <c r="E19" i="6"/>
  <c r="B19" i="6" a="1"/>
  <c r="B19" i="6"/>
  <c r="B26" i="6" a="1"/>
  <c r="B26" i="6"/>
  <c r="B25" i="6" a="1"/>
  <c r="B25" i="6"/>
  <c r="B24" i="6" a="1"/>
  <c r="B24" i="6"/>
  <c r="E4" i="6" a="1"/>
  <c r="E4" i="6"/>
  <c r="E3" i="6" a="1"/>
  <c r="E3" i="6"/>
  <c r="E2" i="6" a="1"/>
  <c r="E2" i="6"/>
  <c r="E5" i="6"/>
  <c r="E6" i="6" s="1"/>
  <c r="B27" i="6" s="1"/>
  <c r="D8" i="6" a="1"/>
  <c r="D8" i="6"/>
  <c r="B4" i="6"/>
  <c r="B2" i="4" a="1"/>
  <c r="B2" i="4"/>
  <c r="B61" i="2"/>
  <c r="B62" i="2"/>
  <c r="B63" i="2"/>
  <c r="B64" i="2"/>
  <c r="B65" i="2"/>
  <c r="B66" i="2"/>
  <c r="B67" i="2"/>
  <c r="B68" i="2"/>
  <c r="B69" i="2"/>
  <c r="B70" i="2"/>
  <c r="B71" i="2"/>
  <c r="B72" i="2"/>
  <c r="B73" i="2"/>
  <c r="B74" i="2"/>
  <c r="B75" i="2"/>
  <c r="B76" i="2"/>
  <c r="B77" i="2"/>
  <c r="B78" i="2"/>
  <c r="B79" i="2"/>
  <c r="B80" i="2"/>
  <c r="B81" i="2"/>
  <c r="B82" i="2"/>
  <c r="B83" i="2"/>
  <c r="B84" i="2"/>
  <c r="B85" i="2"/>
  <c r="B86" i="2"/>
  <c r="B87" i="2"/>
  <c r="B88" i="2"/>
  <c r="B89" i="2"/>
  <c r="B90" i="2"/>
  <c r="B91" i="2"/>
  <c r="B92" i="2"/>
  <c r="B93" i="2"/>
  <c r="B94" i="2"/>
  <c r="B95" i="2"/>
  <c r="B96" i="2"/>
  <c r="B97" i="2"/>
  <c r="B98" i="2"/>
  <c r="B99" i="2"/>
  <c r="B100" i="2"/>
  <c r="B101" i="2"/>
  <c r="B102" i="2"/>
  <c r="B103" i="2"/>
  <c r="B104" i="2"/>
  <c r="B105" i="2"/>
  <c r="B106" i="2"/>
  <c r="B107" i="2"/>
  <c r="B108" i="2"/>
  <c r="B109" i="2"/>
  <c r="B110" i="2"/>
  <c r="B111" i="2"/>
  <c r="B112" i="2"/>
  <c r="B113" i="2"/>
  <c r="B114" i="2"/>
  <c r="B115" i="2"/>
  <c r="B116" i="2"/>
  <c r="B117" i="2"/>
  <c r="B118" i="2"/>
  <c r="B119" i="2"/>
  <c r="B120" i="2"/>
  <c r="B121" i="2"/>
  <c r="B122" i="2"/>
  <c r="B123" i="2"/>
  <c r="B124" i="2"/>
  <c r="B125" i="2"/>
  <c r="B126" i="2"/>
  <c r="B127" i="2"/>
  <c r="B128" i="2"/>
  <c r="B129" i="2"/>
  <c r="B130" i="2"/>
  <c r="B131" i="2"/>
  <c r="B132" i="2"/>
  <c r="B133" i="2"/>
  <c r="B134" i="2"/>
  <c r="B135" i="2"/>
  <c r="B136" i="2"/>
  <c r="B137" i="2"/>
  <c r="B138" i="2"/>
  <c r="B139" i="2"/>
  <c r="B140" i="2"/>
  <c r="B141" i="2"/>
  <c r="B142" i="2"/>
  <c r="B143" i="2"/>
  <c r="B144" i="2"/>
  <c r="B145" i="2"/>
  <c r="B146" i="2"/>
  <c r="B147" i="2"/>
  <c r="B148" i="2"/>
  <c r="B149" i="2"/>
  <c r="B150" i="2"/>
  <c r="B151" i="2"/>
  <c r="B152" i="2"/>
  <c r="B153" i="2"/>
  <c r="B154" i="2"/>
  <c r="B155" i="2"/>
  <c r="B156" i="2"/>
  <c r="B157" i="2"/>
  <c r="B158" i="2"/>
  <c r="B159" i="2"/>
  <c r="B160" i="2"/>
  <c r="B161" i="2"/>
  <c r="B162" i="2"/>
  <c r="B42" i="2"/>
  <c r="B43" i="2"/>
  <c r="B44" i="2"/>
  <c r="B45" i="2"/>
  <c r="B46" i="2"/>
  <c r="B47" i="2"/>
  <c r="B48" i="2"/>
  <c r="B49" i="2"/>
  <c r="B50" i="2"/>
  <c r="B51" i="2"/>
  <c r="B52" i="2"/>
  <c r="B53" i="2"/>
  <c r="B54" i="2"/>
  <c r="B55" i="2"/>
  <c r="B56" i="2"/>
  <c r="B57" i="2"/>
  <c r="B58" i="2"/>
  <c r="B59" i="2"/>
  <c r="B60" i="2"/>
  <c r="C43" i="2"/>
  <c r="C44" i="2"/>
  <c r="C45" i="2"/>
  <c r="C46" i="2"/>
  <c r="C47" i="2"/>
  <c r="C48" i="2"/>
  <c r="C49" i="2"/>
  <c r="C50" i="2"/>
  <c r="C51" i="2"/>
  <c r="C52" i="2"/>
  <c r="C53" i="2"/>
  <c r="C54" i="2"/>
  <c r="C42" i="2"/>
  <c r="B41" i="2"/>
  <c r="F41" i="2"/>
  <c r="F153" i="2"/>
  <c r="F154" i="2"/>
  <c r="F155" i="2"/>
  <c r="F156" i="2"/>
  <c r="F157" i="2"/>
  <c r="F158" i="2"/>
  <c r="F159" i="2"/>
  <c r="F160" i="2"/>
  <c r="F161" i="2"/>
  <c r="F162" i="2"/>
  <c r="F126" i="2"/>
  <c r="F127" i="2"/>
  <c r="F128" i="2"/>
  <c r="F129" i="2"/>
  <c r="F130" i="2"/>
  <c r="F131" i="2"/>
  <c r="F132" i="2"/>
  <c r="F133" i="2"/>
  <c r="F134" i="2"/>
  <c r="F135" i="2"/>
  <c r="F136" i="2"/>
  <c r="F137" i="2"/>
  <c r="F138" i="2"/>
  <c r="F139" i="2"/>
  <c r="F140" i="2"/>
  <c r="F141" i="2"/>
  <c r="F142" i="2"/>
  <c r="F143" i="2"/>
  <c r="F144" i="2"/>
  <c r="F145" i="2"/>
  <c r="F146" i="2"/>
  <c r="F147" i="2"/>
  <c r="F148" i="2"/>
  <c r="F149" i="2"/>
  <c r="F150" i="2"/>
  <c r="F151" i="2"/>
  <c r="F152" i="2"/>
  <c r="F112" i="2"/>
  <c r="F113" i="2"/>
  <c r="F114" i="2"/>
  <c r="F115" i="2"/>
  <c r="F116" i="2"/>
  <c r="F117" i="2"/>
  <c r="F118" i="2"/>
  <c r="F119" i="2"/>
  <c r="F120" i="2"/>
  <c r="F121" i="2"/>
  <c r="F122" i="2"/>
  <c r="F123" i="2"/>
  <c r="F124" i="2"/>
  <c r="F125" i="2"/>
  <c r="F42" i="2"/>
  <c r="F43" i="2"/>
  <c r="F44" i="2"/>
  <c r="F45" i="2"/>
  <c r="F46" i="2"/>
  <c r="F47" i="2"/>
  <c r="F48" i="2"/>
  <c r="F49" i="2"/>
  <c r="F50" i="2"/>
  <c r="F51" i="2"/>
  <c r="F52" i="2"/>
  <c r="F53" i="2"/>
  <c r="F54" i="2"/>
  <c r="F55" i="2"/>
  <c r="F56" i="2"/>
  <c r="F57" i="2"/>
  <c r="F58" i="2"/>
  <c r="F59" i="2"/>
  <c r="F60" i="2"/>
  <c r="F61" i="2"/>
  <c r="F62" i="2"/>
  <c r="F63" i="2"/>
  <c r="F64" i="2"/>
  <c r="F65" i="2"/>
  <c r="F66" i="2"/>
  <c r="F67" i="2"/>
  <c r="F68" i="2"/>
  <c r="F69" i="2"/>
  <c r="F70" i="2"/>
  <c r="F71" i="2"/>
  <c r="F72" i="2"/>
  <c r="F73" i="2"/>
  <c r="F74" i="2"/>
  <c r="F75" i="2"/>
  <c r="F76" i="2"/>
  <c r="F77" i="2"/>
  <c r="F78" i="2"/>
  <c r="F79" i="2"/>
  <c r="F80" i="2"/>
  <c r="F81" i="2"/>
  <c r="F82" i="2"/>
  <c r="F83" i="2"/>
  <c r="F84" i="2"/>
  <c r="F85" i="2"/>
  <c r="F86" i="2"/>
  <c r="F87" i="2"/>
  <c r="F88" i="2"/>
  <c r="F89" i="2"/>
  <c r="F90" i="2"/>
  <c r="F91" i="2"/>
  <c r="F92" i="2"/>
  <c r="F93" i="2"/>
  <c r="F94" i="2"/>
  <c r="F95" i="2"/>
  <c r="F96" i="2"/>
  <c r="F97" i="2"/>
  <c r="F98" i="2"/>
  <c r="F99" i="2"/>
  <c r="F100" i="2"/>
  <c r="F101" i="2"/>
  <c r="F102" i="2"/>
  <c r="F103" i="2"/>
  <c r="F104" i="2"/>
  <c r="F105" i="2"/>
  <c r="F106" i="2"/>
  <c r="F107" i="2"/>
  <c r="F108" i="2"/>
  <c r="F109" i="2"/>
  <c r="F110" i="2"/>
  <c r="F111" i="2"/>
  <c r="J14" i="3"/>
  <c r="M4" i="5"/>
  <c r="M27" i="5" s="1"/>
  <c r="E320" i="4" a="1"/>
  <c r="E320" i="4" s="1"/>
  <c r="E285" i="4" a="1"/>
  <c r="E285" i="4" s="1"/>
  <c r="E250" i="4" a="1"/>
  <c r="E250" i="4" s="1"/>
  <c r="E215" i="4" a="1"/>
  <c r="E215" i="4" s="1"/>
  <c r="E180" i="4" a="1"/>
  <c r="E180" i="4" s="1"/>
  <c r="E145" i="4" a="1"/>
  <c r="E145" i="4" s="1"/>
  <c r="E110" i="4" a="1"/>
  <c r="E110" i="4" s="1"/>
  <c r="E75" i="4" a="1"/>
  <c r="E75" i="4" s="1"/>
  <c r="B320" i="4"/>
  <c r="B285" i="4"/>
  <c r="B250" i="4"/>
  <c r="B215" i="4"/>
  <c r="B180" i="4"/>
  <c r="B145" i="4"/>
  <c r="B110" i="4"/>
  <c r="B75" i="4"/>
  <c r="K21" i="5"/>
  <c r="K22" i="5"/>
  <c r="K23" i="5"/>
  <c r="K24" i="5"/>
  <c r="K25" i="5"/>
  <c r="J21" i="5"/>
  <c r="J22" i="5"/>
  <c r="J23" i="5"/>
  <c r="J24" i="5"/>
  <c r="J25" i="5"/>
  <c r="F2" i="3"/>
  <c r="B2" i="1" a="1"/>
  <c r="B2" i="1"/>
  <c r="I14" i="3"/>
  <c r="H14" i="3"/>
  <c r="D305" i="3"/>
  <c r="D351" i="3"/>
  <c r="D352" i="3"/>
  <c r="D353" i="3"/>
  <c r="D354" i="3"/>
  <c r="D405" i="3"/>
  <c r="D451" i="3"/>
  <c r="D452" i="3"/>
  <c r="D453" i="3"/>
  <c r="D454" i="3"/>
  <c r="D215" i="4"/>
  <c r="C221" i="4"/>
  <c r="D250" i="4"/>
  <c r="C256" i="4"/>
  <c r="D285" i="4"/>
  <c r="C291" i="4"/>
  <c r="D320" i="4"/>
  <c r="C326" i="4"/>
  <c r="D145" i="4"/>
  <c r="C151" i="4"/>
  <c r="D180" i="4"/>
  <c r="C186" i="4"/>
  <c r="M34" i="2"/>
  <c r="L35" i="2"/>
  <c r="M23" i="2"/>
  <c r="J12" i="3"/>
  <c r="I12" i="3"/>
  <c r="H12" i="3"/>
  <c r="I10" i="3"/>
  <c r="H10" i="3"/>
  <c r="I8" i="3"/>
  <c r="I6" i="3"/>
  <c r="I4" i="3"/>
  <c r="D3" i="5"/>
  <c r="D105" i="3"/>
  <c r="H6" i="3" s="1"/>
  <c r="D205" i="3"/>
  <c r="H8" i="3" s="1"/>
  <c r="E21" i="5"/>
  <c r="E22" i="5"/>
  <c r="E23" i="5"/>
  <c r="E24" i="5"/>
  <c r="E25" i="5"/>
  <c r="E26" i="5"/>
  <c r="H8" i="5"/>
  <c r="I8" i="5"/>
  <c r="E8" i="5" s="1"/>
  <c r="H9" i="5"/>
  <c r="I9" i="5"/>
  <c r="E9" i="5" s="1"/>
  <c r="H10" i="5"/>
  <c r="I10" i="5"/>
  <c r="E10" i="5" s="1"/>
  <c r="H11" i="5"/>
  <c r="I11" i="5"/>
  <c r="E11" i="5" s="1"/>
  <c r="H12" i="5"/>
  <c r="I12" i="5"/>
  <c r="E12" i="5" s="1"/>
  <c r="H13" i="5"/>
  <c r="I13" i="5"/>
  <c r="E13" i="5" s="1"/>
  <c r="H14" i="5"/>
  <c r="I14" i="5"/>
  <c r="E14" i="5" s="1"/>
  <c r="H17" i="5"/>
  <c r="I17" i="5"/>
  <c r="E17" i="5" s="1"/>
  <c r="H18" i="5"/>
  <c r="I18" i="5"/>
  <c r="E18" i="5" s="1"/>
  <c r="H19" i="5"/>
  <c r="I19" i="5"/>
  <c r="E19" i="5" s="1"/>
  <c r="H20" i="5"/>
  <c r="I20" i="5"/>
  <c r="E20" i="5" s="1"/>
  <c r="H21" i="5"/>
  <c r="I21" i="5"/>
  <c r="H22" i="5"/>
  <c r="I22" i="5"/>
  <c r="H23" i="5"/>
  <c r="I23" i="5"/>
  <c r="H24" i="5"/>
  <c r="I24" i="5"/>
  <c r="H25" i="5"/>
  <c r="I25" i="5"/>
  <c r="H26" i="5"/>
  <c r="I26" i="5"/>
  <c r="D125" i="1"/>
  <c r="S125" i="1" s="1"/>
  <c r="C14" i="1"/>
  <c r="D151" i="3"/>
  <c r="D152" i="3"/>
  <c r="D153" i="3"/>
  <c r="D154" i="3"/>
  <c r="D251" i="3"/>
  <c r="D252" i="3"/>
  <c r="D253" i="3"/>
  <c r="D254" i="3"/>
  <c r="C46" i="4"/>
  <c r="E2" i="4" a="1"/>
  <c r="E2" i="4" s="1"/>
  <c r="D2" i="4" a="1"/>
  <c r="D2" i="4" s="1"/>
  <c r="C2" i="4" a="1"/>
  <c r="C2" i="4" s="1"/>
  <c r="E2" i="1" a="1"/>
  <c r="E2" i="1"/>
  <c r="D2" i="1" a="1"/>
  <c r="D2" i="1"/>
  <c r="C2" i="1" a="1"/>
  <c r="C2" i="1"/>
  <c r="C3" i="1"/>
  <c r="D23" i="1"/>
  <c r="E23" i="1" s="1"/>
  <c r="C81" i="4"/>
  <c r="C116" i="4"/>
  <c r="C11" i="4"/>
  <c r="D51" i="3"/>
  <c r="D52" i="3"/>
  <c r="D53" i="3"/>
  <c r="D54" i="3"/>
  <c r="D141" i="1"/>
  <c r="S141" i="1" s="1"/>
  <c r="D142" i="1"/>
  <c r="S142" i="1" s="1"/>
  <c r="D143" i="1"/>
  <c r="S143" i="1" s="1"/>
  <c r="D144" i="1"/>
  <c r="S144" i="1" s="1"/>
  <c r="D145" i="1"/>
  <c r="S145" i="1" s="1"/>
  <c r="D146" i="1"/>
  <c r="S146" i="1" s="1"/>
  <c r="D147" i="1"/>
  <c r="S147" i="1" s="1"/>
  <c r="D148" i="1"/>
  <c r="S148" i="1" s="1"/>
  <c r="D149" i="1"/>
  <c r="S149" i="1" s="1"/>
  <c r="D150" i="1"/>
  <c r="S150" i="1" s="1"/>
  <c r="D151" i="1"/>
  <c r="S151" i="1" s="1"/>
  <c r="D152" i="1"/>
  <c r="S152" i="1" s="1"/>
  <c r="D153" i="1"/>
  <c r="S153" i="1" s="1"/>
  <c r="D154" i="1"/>
  <c r="S154" i="1" s="1"/>
  <c r="D155" i="1"/>
  <c r="S155" i="1" s="1"/>
  <c r="D156" i="1"/>
  <c r="S156" i="1" s="1"/>
  <c r="D157" i="1"/>
  <c r="S157" i="1" s="1"/>
  <c r="D140" i="1"/>
  <c r="S140" i="1" s="1"/>
  <c r="D122" i="1"/>
  <c r="S122" i="1" s="1"/>
  <c r="D123" i="1"/>
  <c r="S123" i="1" s="1"/>
  <c r="D124" i="1"/>
  <c r="S124" i="1" s="1"/>
  <c r="D126" i="1"/>
  <c r="S126" i="1" s="1"/>
  <c r="D127" i="1"/>
  <c r="S127" i="1" s="1"/>
  <c r="D128" i="1"/>
  <c r="S128" i="1" s="1"/>
  <c r="D129" i="1"/>
  <c r="S129" i="1" s="1"/>
  <c r="D130" i="1"/>
  <c r="S130" i="1" s="1"/>
  <c r="D131" i="1"/>
  <c r="S131" i="1" s="1"/>
  <c r="D132" i="1"/>
  <c r="S132" i="1" s="1"/>
  <c r="D133" i="1"/>
  <c r="S133" i="1" s="1"/>
  <c r="D134" i="1"/>
  <c r="S134" i="1" s="1"/>
  <c r="D135" i="1"/>
  <c r="S135" i="1" s="1"/>
  <c r="D121" i="1"/>
  <c r="S121" i="1" s="1"/>
  <c r="AC34" i="2" a="1"/>
  <c r="I22" i="3" a="1"/>
  <c r="AC33" i="2" a="1"/>
  <c r="AC36" i="2" a="1"/>
  <c r="R34" i="2" a="1"/>
  <c r="R35" i="2" a="1"/>
  <c r="R36" i="2" a="1"/>
  <c r="R37" i="2" a="1"/>
  <c r="R38" i="2" a="1"/>
  <c r="AE25" i="2" a="1"/>
  <c r="AE22" i="2" a="1"/>
  <c r="AC24" i="2" a="1"/>
  <c r="AC30" i="2" a="1"/>
  <c r="AC22" i="2" a="1"/>
  <c r="R26" i="2" a="1"/>
  <c r="R29" i="2" a="1"/>
  <c r="R32" i="2" a="1"/>
  <c r="G34" i="2" a="1"/>
  <c r="J32" i="3" a="1"/>
  <c r="J29" i="3" a="1"/>
  <c r="I28" i="3" a="1"/>
  <c r="I26" i="3" a="1"/>
  <c r="J24" i="3" a="1"/>
  <c r="I23" i="3" a="1"/>
  <c r="I20" i="3" a="1"/>
  <c r="AC35" i="2" a="1"/>
  <c r="AC38" i="2" a="1"/>
  <c r="J26" i="3" a="1"/>
  <c r="AE27" i="2" a="1"/>
  <c r="AE24" i="2" a="1"/>
  <c r="AC23" i="2" a="1"/>
  <c r="AC26" i="2" a="1"/>
  <c r="AC29" i="2" a="1"/>
  <c r="AC32" i="2" a="1"/>
  <c r="R25" i="2" a="1"/>
  <c r="R28" i="2" a="1"/>
  <c r="R31" i="2" a="1"/>
  <c r="R23" i="2" a="1"/>
  <c r="K23" i="2" a="1"/>
  <c r="J33" i="3" a="1"/>
  <c r="I32" i="3" a="1"/>
  <c r="J30" i="3" a="1"/>
  <c r="I29" i="3" a="1"/>
  <c r="J27" i="3" a="1"/>
  <c r="J25" i="3" a="1"/>
  <c r="I24" i="3" a="1"/>
  <c r="J22" i="3" a="1"/>
  <c r="I21" i="3" a="1"/>
  <c r="J19" i="3" a="1"/>
  <c r="AC37" i="2" a="1"/>
  <c r="AE26" i="2" a="1"/>
  <c r="AE23" i="2" a="1"/>
  <c r="AC25" i="2" a="1"/>
  <c r="AC28" i="2" a="1"/>
  <c r="AC31" i="2" a="1"/>
  <c r="R24" i="2" a="1"/>
  <c r="R27" i="2" a="1"/>
  <c r="R30" i="2" a="1"/>
  <c r="R33" i="2" a="1"/>
  <c r="K34" i="2" a="1"/>
  <c r="I33" i="3" a="1"/>
  <c r="J31" i="3" a="1"/>
  <c r="I30" i="3" a="1"/>
  <c r="J28" i="3" a="1"/>
  <c r="I27" i="3" a="1"/>
  <c r="I25" i="3" a="1"/>
  <c r="J23" i="3" a="1"/>
  <c r="J20" i="3" a="1"/>
  <c r="I19" i="3" a="1"/>
  <c r="AC27" i="2" a="1"/>
  <c r="I31" i="3" a="1"/>
  <c r="J21" i="3" a="1"/>
  <c r="J21" i="3" l="1"/>
  <c r="I31" i="3"/>
  <c r="H31" i="3" s="1"/>
  <c r="AC27" i="2"/>
  <c r="I19" i="3"/>
  <c r="H19" i="3" s="1"/>
  <c r="J20" i="3"/>
  <c r="J23" i="3"/>
  <c r="I25" i="3"/>
  <c r="H25" i="3" s="1"/>
  <c r="I27" i="3"/>
  <c r="H27" i="3" s="1"/>
  <c r="J28" i="3"/>
  <c r="I30" i="3"/>
  <c r="H30" i="3" s="1"/>
  <c r="J31" i="3"/>
  <c r="I33" i="3"/>
  <c r="H33" i="3" s="1"/>
  <c r="K34" i="2"/>
  <c r="R33" i="2"/>
  <c r="T33" i="2" s="1" a="1"/>
  <c r="T33" i="2" s="1"/>
  <c r="R30" i="2"/>
  <c r="T30" i="2" s="1" a="1"/>
  <c r="T30" i="2" s="1"/>
  <c r="R27" i="2"/>
  <c r="T27" i="2" s="1" a="1"/>
  <c r="T27" i="2" s="1"/>
  <c r="R24" i="2"/>
  <c r="AC31" i="2"/>
  <c r="AC28" i="2"/>
  <c r="AC25" i="2"/>
  <c r="AE23" i="2"/>
  <c r="AE26" i="2"/>
  <c r="AC37" i="2"/>
  <c r="J19" i="3"/>
  <c r="I21" i="3"/>
  <c r="H21" i="3" s="1"/>
  <c r="J22" i="3"/>
  <c r="I24" i="3"/>
  <c r="H24" i="3" s="1"/>
  <c r="J25" i="3"/>
  <c r="J27" i="3"/>
  <c r="I29" i="3"/>
  <c r="H29" i="3" s="1"/>
  <c r="J30" i="3"/>
  <c r="I32" i="3"/>
  <c r="H32" i="3" s="1"/>
  <c r="J33" i="3"/>
  <c r="K23" i="2"/>
  <c r="R23" i="2"/>
  <c r="R31" i="2"/>
  <c r="T31" i="2" s="1" a="1"/>
  <c r="T31" i="2" s="1"/>
  <c r="R28" i="2"/>
  <c r="T28" i="2" s="1" a="1"/>
  <c r="T28" i="2" s="1"/>
  <c r="R25" i="2"/>
  <c r="T25" i="2" s="1" a="1"/>
  <c r="T25" i="2" s="1"/>
  <c r="AC32" i="2"/>
  <c r="AC29" i="2"/>
  <c r="AC26" i="2"/>
  <c r="AC23" i="2"/>
  <c r="AE24" i="2"/>
  <c r="AE27" i="2"/>
  <c r="J26" i="3"/>
  <c r="AC38" i="2"/>
  <c r="AC35" i="2"/>
  <c r="I20" i="3"/>
  <c r="H20" i="3" s="1"/>
  <c r="I23" i="3"/>
  <c r="H23" i="3" s="1"/>
  <c r="J24" i="3"/>
  <c r="I26" i="3"/>
  <c r="H26" i="3" s="1"/>
  <c r="I28" i="3"/>
  <c r="H28" i="3" s="1"/>
  <c r="J29" i="3"/>
  <c r="J32" i="3"/>
  <c r="G34" i="2"/>
  <c r="R32" i="2"/>
  <c r="T32" i="2" s="1" a="1"/>
  <c r="T32" i="2" s="1"/>
  <c r="R29" i="2"/>
  <c r="T29" i="2" s="1" a="1"/>
  <c r="T29" i="2" s="1"/>
  <c r="R26" i="2"/>
  <c r="T26" i="2" s="1" a="1"/>
  <c r="T26" i="2" s="1"/>
  <c r="AC22" i="2"/>
  <c r="AC30" i="2"/>
  <c r="AC24" i="2"/>
  <c r="AE22" i="2"/>
  <c r="AE25" i="2"/>
  <c r="R38" i="2"/>
  <c r="R37" i="2"/>
  <c r="R36" i="2"/>
  <c r="R35" i="2"/>
  <c r="R34" i="2"/>
  <c r="AC36" i="2"/>
  <c r="AC33" i="2"/>
  <c r="I22" i="3"/>
  <c r="H22" i="3" s="1"/>
  <c r="AC34" i="2"/>
  <c r="E490" i="4"/>
  <c r="D490" i="4"/>
  <c r="C490" i="4"/>
  <c r="E455" i="4"/>
  <c r="D455" i="4"/>
  <c r="C455" i="4"/>
  <c r="E420" i="4"/>
  <c r="D420" i="4"/>
  <c r="C420" i="4"/>
  <c r="E385" i="4"/>
  <c r="D385" i="4"/>
  <c r="C385" i="4"/>
  <c r="E350" i="4"/>
  <c r="D350" i="4"/>
  <c r="C350" i="4"/>
  <c r="C315" i="4"/>
  <c r="D315" i="4"/>
  <c r="E315" i="4"/>
  <c r="E280" i="4"/>
  <c r="D280" i="4"/>
  <c r="C280" i="4"/>
  <c r="E245" i="4"/>
  <c r="D245" i="4"/>
  <c r="C245" i="4"/>
  <c r="E210" i="4"/>
  <c r="D210" i="4"/>
  <c r="C210" i="4"/>
  <c r="E175" i="4"/>
  <c r="D175" i="4"/>
  <c r="C175" i="4"/>
  <c r="E140" i="4"/>
  <c r="D140" i="4"/>
  <c r="C140" i="4"/>
  <c r="E105" i="4"/>
  <c r="D105" i="4"/>
  <c r="C105" i="4"/>
  <c r="C27" i="6"/>
  <c r="F27" i="6" s="1"/>
  <c r="D27" i="6"/>
  <c r="E27" i="6"/>
  <c r="C24" i="6"/>
  <c r="F24" i="6" s="1"/>
  <c r="D24" i="6"/>
  <c r="E24" i="6"/>
  <c r="C25" i="6"/>
  <c r="F25" i="6" s="1"/>
  <c r="D25" i="6"/>
  <c r="E25" i="6"/>
  <c r="C26" i="6"/>
  <c r="F26" i="6" s="1"/>
  <c r="D26" i="6"/>
  <c r="E26" i="6"/>
  <c r="C41" i="2"/>
  <c r="D41" i="2"/>
  <c r="C60" i="2"/>
  <c r="D60" i="2" s="1"/>
  <c r="C59" i="2"/>
  <c r="D59" i="2" s="1"/>
  <c r="C58" i="2"/>
  <c r="D58" i="2" s="1"/>
  <c r="C57" i="2"/>
  <c r="D57" i="2" s="1"/>
  <c r="C56" i="2"/>
  <c r="D56" i="2" s="1"/>
  <c r="C55" i="2"/>
  <c r="D55" i="2" s="1"/>
  <c r="D54" i="2"/>
  <c r="D53" i="2"/>
  <c r="D52" i="2"/>
  <c r="D51" i="2"/>
  <c r="D50" i="2"/>
  <c r="D49" i="2"/>
  <c r="D48" i="2"/>
  <c r="D47" i="2"/>
  <c r="D46" i="2"/>
  <c r="D45" i="2"/>
  <c r="D44" i="2"/>
  <c r="D43" i="2"/>
  <c r="D42" i="2"/>
  <c r="C162" i="2"/>
  <c r="D162" i="2" s="1"/>
  <c r="C161" i="2"/>
  <c r="D161" i="2" s="1"/>
  <c r="C160" i="2"/>
  <c r="D160" i="2" s="1"/>
  <c r="C159" i="2"/>
  <c r="D159" i="2" s="1"/>
  <c r="C158" i="2"/>
  <c r="D158" i="2" s="1"/>
  <c r="C157" i="2"/>
  <c r="D157" i="2" s="1"/>
  <c r="C156" i="2"/>
  <c r="D156" i="2" s="1"/>
  <c r="C155" i="2"/>
  <c r="D155" i="2" s="1"/>
  <c r="C154" i="2"/>
  <c r="D154" i="2" s="1"/>
  <c r="C153" i="2"/>
  <c r="D153" i="2" s="1"/>
  <c r="C152" i="2"/>
  <c r="D152" i="2" s="1"/>
  <c r="C151" i="2"/>
  <c r="D151" i="2" s="1"/>
  <c r="C150" i="2"/>
  <c r="D150" i="2" s="1"/>
  <c r="C149" i="2"/>
  <c r="D149" i="2" s="1"/>
  <c r="C148" i="2"/>
  <c r="D148" i="2" s="1"/>
  <c r="C147" i="2"/>
  <c r="D147" i="2" s="1"/>
  <c r="C146" i="2"/>
  <c r="D146" i="2" s="1"/>
  <c r="C145" i="2"/>
  <c r="D145" i="2" s="1"/>
  <c r="C144" i="2"/>
  <c r="D144" i="2" s="1"/>
  <c r="C143" i="2"/>
  <c r="D143" i="2" s="1"/>
  <c r="C142" i="2"/>
  <c r="D142" i="2" s="1"/>
  <c r="C141" i="2"/>
  <c r="D141" i="2" s="1"/>
  <c r="C140" i="2"/>
  <c r="D140" i="2" s="1"/>
  <c r="C139" i="2"/>
  <c r="D139" i="2" s="1"/>
  <c r="C138" i="2"/>
  <c r="D138" i="2" s="1"/>
  <c r="C137" i="2"/>
  <c r="D137" i="2" s="1"/>
  <c r="C136" i="2"/>
  <c r="D136" i="2" s="1"/>
  <c r="C135" i="2"/>
  <c r="D135" i="2" s="1"/>
  <c r="C134" i="2"/>
  <c r="D134" i="2" s="1"/>
  <c r="C133" i="2"/>
  <c r="D133" i="2" s="1"/>
  <c r="C132" i="2"/>
  <c r="D132" i="2" s="1"/>
  <c r="C131" i="2"/>
  <c r="D131" i="2" s="1"/>
  <c r="C130" i="2"/>
  <c r="D130" i="2" s="1"/>
  <c r="C129" i="2"/>
  <c r="D129" i="2" s="1"/>
  <c r="C128" i="2"/>
  <c r="D128" i="2" s="1"/>
  <c r="C127" i="2"/>
  <c r="D127" i="2" s="1"/>
  <c r="C126" i="2"/>
  <c r="D126" i="2" s="1"/>
  <c r="C125" i="2"/>
  <c r="D125" i="2" s="1"/>
  <c r="C124" i="2"/>
  <c r="D124" i="2" s="1"/>
  <c r="C123" i="2"/>
  <c r="D123" i="2" s="1"/>
  <c r="C122" i="2"/>
  <c r="D122" i="2" s="1"/>
  <c r="C121" i="2"/>
  <c r="D121" i="2" s="1"/>
  <c r="C120" i="2"/>
  <c r="D120" i="2" s="1"/>
  <c r="C119" i="2"/>
  <c r="D119" i="2" s="1"/>
  <c r="C118" i="2"/>
  <c r="D118" i="2" s="1"/>
  <c r="C117" i="2"/>
  <c r="D117" i="2" s="1"/>
  <c r="C116" i="2"/>
  <c r="D116" i="2" s="1"/>
  <c r="C115" i="2"/>
  <c r="D115" i="2" s="1"/>
  <c r="C114" i="2"/>
  <c r="D114" i="2" s="1"/>
  <c r="C113" i="2"/>
  <c r="D113" i="2" s="1"/>
  <c r="C112" i="2"/>
  <c r="D112" i="2" s="1"/>
  <c r="C111" i="2"/>
  <c r="D111" i="2" s="1"/>
  <c r="C110" i="2"/>
  <c r="D110" i="2" s="1"/>
  <c r="C109" i="2"/>
  <c r="D109" i="2" s="1"/>
  <c r="C108" i="2"/>
  <c r="D108" i="2" s="1"/>
  <c r="C107" i="2"/>
  <c r="D107" i="2" s="1"/>
  <c r="C106" i="2"/>
  <c r="D106" i="2" s="1"/>
  <c r="C105" i="2"/>
  <c r="D105" i="2" s="1"/>
  <c r="C104" i="2"/>
  <c r="D104" i="2" s="1"/>
  <c r="C103" i="2"/>
  <c r="D103" i="2" s="1"/>
  <c r="C102" i="2"/>
  <c r="D102" i="2" s="1"/>
  <c r="C101" i="2"/>
  <c r="D101" i="2" s="1"/>
  <c r="C100" i="2"/>
  <c r="D100" i="2" s="1"/>
  <c r="C99" i="2"/>
  <c r="D99" i="2" s="1"/>
  <c r="C98" i="2"/>
  <c r="D98" i="2" s="1"/>
  <c r="C97" i="2"/>
  <c r="D97" i="2" s="1"/>
  <c r="C96" i="2"/>
  <c r="D96" i="2" s="1"/>
  <c r="C95" i="2"/>
  <c r="D95" i="2" s="1"/>
  <c r="C94" i="2"/>
  <c r="D94" i="2" s="1"/>
  <c r="C93" i="2"/>
  <c r="D93" i="2" s="1"/>
  <c r="C92" i="2"/>
  <c r="D92" i="2" s="1"/>
  <c r="C91" i="2"/>
  <c r="D91" i="2" s="1"/>
  <c r="C90" i="2"/>
  <c r="D90" i="2" s="1"/>
  <c r="C89" i="2"/>
  <c r="D89" i="2" s="1"/>
  <c r="C88" i="2"/>
  <c r="D88" i="2" s="1"/>
  <c r="C87" i="2"/>
  <c r="D87" i="2" s="1"/>
  <c r="C86" i="2"/>
  <c r="D86" i="2" s="1"/>
  <c r="C85" i="2"/>
  <c r="D85" i="2" s="1"/>
  <c r="C84" i="2"/>
  <c r="D84" i="2" s="1"/>
  <c r="C83" i="2"/>
  <c r="D83" i="2" s="1"/>
  <c r="C82" i="2"/>
  <c r="D82" i="2" s="1"/>
  <c r="C81" i="2"/>
  <c r="D81" i="2" s="1"/>
  <c r="C80" i="2"/>
  <c r="D80" i="2" s="1"/>
  <c r="C79" i="2"/>
  <c r="D79" i="2" s="1"/>
  <c r="C78" i="2"/>
  <c r="D78" i="2" s="1"/>
  <c r="C77" i="2"/>
  <c r="D77" i="2" s="1"/>
  <c r="C76" i="2"/>
  <c r="D76" i="2" s="1"/>
  <c r="C75" i="2"/>
  <c r="D75" i="2" s="1"/>
  <c r="C74" i="2"/>
  <c r="D74" i="2" s="1"/>
  <c r="C73" i="2"/>
  <c r="D73" i="2" s="1"/>
  <c r="C72" i="2"/>
  <c r="D72" i="2" s="1"/>
  <c r="C71" i="2"/>
  <c r="D71" i="2" s="1"/>
  <c r="C70" i="2"/>
  <c r="D70" i="2" s="1"/>
  <c r="C69" i="2"/>
  <c r="D69" i="2" s="1"/>
  <c r="C68" i="2"/>
  <c r="D68" i="2" s="1"/>
  <c r="C67" i="2"/>
  <c r="D67" i="2" s="1"/>
  <c r="C66" i="2"/>
  <c r="D66" i="2" s="1"/>
  <c r="C65" i="2"/>
  <c r="D65" i="2" s="1"/>
  <c r="C64" i="2"/>
  <c r="D64" i="2" s="1"/>
  <c r="C63" i="2"/>
  <c r="D63" i="2" s="1"/>
  <c r="C62" i="2"/>
  <c r="D62" i="2" s="1"/>
  <c r="C61" i="2"/>
  <c r="D61" i="2" s="1"/>
  <c r="F2" i="4" a="1"/>
  <c r="F2" i="4" s="1"/>
  <c r="F2" i="1" a="1"/>
  <c r="F2" i="1" s="1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N4" i="5"/>
  <c r="N5" i="5"/>
  <c r="N6" i="5"/>
  <c r="N7" i="5"/>
  <c r="N8" i="5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5" i="5"/>
  <c r="N26" i="5"/>
  <c r="R39" i="2"/>
  <c r="R44" i="2" s="1" a="1"/>
  <c r="R44" i="2" s="1"/>
  <c r="S33" i="2" a="1"/>
  <c r="S33" i="2" s="1"/>
  <c r="S32" i="2" a="1"/>
  <c r="S32" i="2" s="1"/>
  <c r="S31" i="2" a="1"/>
  <c r="S31" i="2" s="1"/>
  <c r="S30" i="2" a="1"/>
  <c r="S30" i="2" s="1"/>
  <c r="S29" i="2" a="1"/>
  <c r="S29" i="2" s="1"/>
  <c r="S28" i="2" a="1"/>
  <c r="S28" i="2" s="1"/>
  <c r="S27" i="2" a="1"/>
  <c r="S27" i="2" s="1"/>
  <c r="S26" i="2" a="1"/>
  <c r="S26" i="2" s="1"/>
  <c r="S25" i="2" a="1"/>
  <c r="S25" i="2" s="1"/>
  <c r="S24" i="2" a="1"/>
  <c r="S24" i="2" s="1"/>
  <c r="M24" i="2"/>
  <c r="M35" i="2"/>
  <c r="L36" i="2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H6" i="5"/>
  <c r="I6" i="5" s="1"/>
  <c r="E6" i="5" s="1"/>
  <c r="H15" i="5"/>
  <c r="I15" i="5" s="1"/>
  <c r="E15" i="5" s="1"/>
  <c r="H16" i="5"/>
  <c r="I16" i="5" s="1"/>
  <c r="E16" i="5" s="1"/>
  <c r="T23" i="2" a="1"/>
  <c r="S23" i="2" a="1"/>
  <c r="K24" i="2" a="1"/>
  <c r="K24" i="2" l="1"/>
  <c r="S23" i="2"/>
  <c r="T23" i="2"/>
  <c r="T34" i="2" a="1"/>
  <c r="T34" i="2" s="1"/>
  <c r="S34" i="2" a="1"/>
  <c r="S34" i="2" s="1"/>
  <c r="S37" i="2" a="1"/>
  <c r="S37" i="2" s="1"/>
  <c r="T37" i="2" a="1"/>
  <c r="T37" i="2" s="1"/>
  <c r="S35" i="2" a="1"/>
  <c r="S35" i="2" s="1"/>
  <c r="T35" i="2" a="1"/>
  <c r="T35" i="2" s="1"/>
  <c r="T38" i="2" a="1"/>
  <c r="T38" i="2" s="1"/>
  <c r="S38" i="2" a="1"/>
  <c r="S38" i="2" s="1"/>
  <c r="T36" i="2" a="1"/>
  <c r="T36" i="2" s="1"/>
  <c r="S36" i="2" a="1"/>
  <c r="S36" i="2" s="1"/>
  <c r="O27" i="5"/>
  <c r="N31" i="5" s="1"/>
  <c r="N27" i="5"/>
  <c r="H4" i="5"/>
  <c r="I4" i="5" s="1"/>
  <c r="E4" i="5" s="1"/>
  <c r="R45" i="2" a="1"/>
  <c r="R45" i="2" s="1"/>
  <c r="G3" i="5" s="1"/>
  <c r="J4" i="5"/>
  <c r="K4" i="5" s="1"/>
  <c r="J5" i="5"/>
  <c r="K5" i="5" s="1"/>
  <c r="J6" i="5"/>
  <c r="K6" i="5" s="1"/>
  <c r="J7" i="5"/>
  <c r="K7" i="5" s="1"/>
  <c r="J8" i="5"/>
  <c r="K8" i="5" s="1"/>
  <c r="J9" i="5"/>
  <c r="K9" i="5" s="1"/>
  <c r="D40" i="4"/>
  <c r="T24" i="2" s="1" a="1"/>
  <c r="T24" i="2" s="1"/>
  <c r="R40" i="2" s="1"/>
  <c r="F26" i="5" s="1" a="1"/>
  <c r="F26" i="5" s="1"/>
  <c r="G26" i="5" s="1" a="1"/>
  <c r="G26" i="5" s="1"/>
  <c r="D5" i="3"/>
  <c r="H4" i="3" s="1"/>
  <c r="D5" i="4"/>
  <c r="D5" i="1"/>
  <c r="D75" i="4"/>
  <c r="H7" i="5"/>
  <c r="I7" i="5"/>
  <c r="E7" i="5" s="1"/>
  <c r="D110" i="4"/>
  <c r="M36" i="2"/>
  <c r="L37" i="2"/>
  <c r="M25" i="2"/>
  <c r="E5" i="1"/>
  <c r="G35" i="2" a="1"/>
  <c r="K25" i="2" a="1"/>
  <c r="K35" i="2" a="1"/>
  <c r="K35" i="2" l="1"/>
  <c r="K25" i="2"/>
  <c r="G35" i="2"/>
  <c r="M28" i="5"/>
  <c r="N30" i="5"/>
  <c r="J16" i="5"/>
  <c r="K16" i="5" s="1"/>
  <c r="J10" i="5"/>
  <c r="K10" i="5" s="1"/>
  <c r="J11" i="5"/>
  <c r="K11" i="5" s="1"/>
  <c r="J12" i="5"/>
  <c r="K12" i="5" s="1"/>
  <c r="J13" i="5"/>
  <c r="K13" i="5" s="1"/>
  <c r="J14" i="5"/>
  <c r="K14" i="5" s="1"/>
  <c r="J15" i="5"/>
  <c r="K15" i="5" s="1"/>
  <c r="J17" i="5"/>
  <c r="K17" i="5" s="1"/>
  <c r="J18" i="5"/>
  <c r="K18" i="5" s="1"/>
  <c r="J19" i="5"/>
  <c r="K19" i="5" s="1"/>
  <c r="J20" i="5"/>
  <c r="K20" i="5" s="1"/>
  <c r="F18" i="5" a="1"/>
  <c r="F18" i="5" s="1"/>
  <c r="F19" i="5" a="1"/>
  <c r="F19" i="5" s="1"/>
  <c r="F20" i="5" a="1"/>
  <c r="F20" i="5" s="1"/>
  <c r="F21" i="5" a="1"/>
  <c r="F21" i="5" s="1"/>
  <c r="F22" i="5" a="1"/>
  <c r="F22" i="5" s="1"/>
  <c r="F23" i="5" a="1"/>
  <c r="F23" i="5" s="1"/>
  <c r="F24" i="5" a="1"/>
  <c r="F24" i="5" s="1"/>
  <c r="F4" i="5" a="1"/>
  <c r="F4" i="5" s="1"/>
  <c r="F5" i="5" a="1"/>
  <c r="F5" i="5" s="1"/>
  <c r="F6" i="5" a="1"/>
  <c r="F6" i="5" s="1"/>
  <c r="F7" i="5" a="1"/>
  <c r="F7" i="5" s="1"/>
  <c r="F8" i="5" a="1"/>
  <c r="F8" i="5" s="1"/>
  <c r="F9" i="5" a="1"/>
  <c r="F9" i="5" s="1"/>
  <c r="F10" i="5" a="1"/>
  <c r="F10" i="5" s="1"/>
  <c r="F11" i="5" a="1"/>
  <c r="F11" i="5" s="1"/>
  <c r="F12" i="5" a="1"/>
  <c r="F12" i="5" s="1"/>
  <c r="F13" i="5" a="1"/>
  <c r="F13" i="5" s="1"/>
  <c r="F14" i="5" a="1"/>
  <c r="F14" i="5" s="1"/>
  <c r="F15" i="5" a="1"/>
  <c r="F15" i="5" s="1"/>
  <c r="F16" i="5" a="1"/>
  <c r="F16" i="5" s="1"/>
  <c r="F17" i="5" a="1"/>
  <c r="F17" i="5" s="1"/>
  <c r="F25" i="5" a="1"/>
  <c r="F25" i="5" s="1"/>
  <c r="G10" i="5" a="1"/>
  <c r="G10" i="5" s="1"/>
  <c r="G11" i="5" a="1"/>
  <c r="G11" i="5" s="1"/>
  <c r="G12" i="5" a="1"/>
  <c r="G12" i="5" s="1"/>
  <c r="G13" i="5" a="1"/>
  <c r="G13" i="5" s="1"/>
  <c r="G14" i="5" a="1"/>
  <c r="G14" i="5" s="1"/>
  <c r="G15" i="5" a="1"/>
  <c r="G15" i="5" s="1"/>
  <c r="G16" i="5" a="1"/>
  <c r="G16" i="5" s="1"/>
  <c r="G17" i="5" a="1"/>
  <c r="G17" i="5" s="1"/>
  <c r="G19" i="5" a="1"/>
  <c r="G19" i="5" s="1"/>
  <c r="G20" i="5" a="1"/>
  <c r="G20" i="5" s="1"/>
  <c r="G21" i="5" a="1"/>
  <c r="G21" i="5" s="1"/>
  <c r="G22" i="5" a="1"/>
  <c r="G22" i="5" s="1"/>
  <c r="G23" i="5" a="1"/>
  <c r="G23" i="5" s="1"/>
  <c r="G24" i="5" a="1"/>
  <c r="G24" i="5" s="1"/>
  <c r="G25" i="5" a="1"/>
  <c r="G25" i="5" s="1"/>
  <c r="G18" i="5" a="1"/>
  <c r="G18" i="5" s="1"/>
  <c r="G9" i="5" a="1"/>
  <c r="G9" i="5" s="1"/>
  <c r="G8" i="5" a="1"/>
  <c r="G8" i="5" s="1"/>
  <c r="G7" i="5" a="1"/>
  <c r="G7" i="5" s="1"/>
  <c r="G6" i="5" a="1"/>
  <c r="G6" i="5" s="1"/>
  <c r="M26" i="2"/>
  <c r="M37" i="2"/>
  <c r="L38" i="2"/>
  <c r="K26" i="2" a="1"/>
  <c r="K36" i="2" a="1"/>
  <c r="G36" i="2" a="1"/>
  <c r="G36" i="2" l="1"/>
  <c r="K36" i="2"/>
  <c r="K26" i="2"/>
  <c r="E405" i="3" a="1"/>
  <c r="E405" i="3" s="1"/>
  <c r="B405" i="3"/>
  <c r="B495" i="4"/>
  <c r="E495" i="4" a="1"/>
  <c r="E495" i="4" s="1"/>
  <c r="B40" i="4"/>
  <c r="E305" i="3" a="1"/>
  <c r="E305" i="3" s="1"/>
  <c r="B305" i="3"/>
  <c r="E205" i="3" a="1"/>
  <c r="E205" i="3" s="1"/>
  <c r="B205" i="3"/>
  <c r="G5" i="5" a="1"/>
  <c r="G5" i="5" s="1"/>
  <c r="B105" i="3"/>
  <c r="B5" i="4"/>
  <c r="B5" i="3"/>
  <c r="G4" i="5" a="1"/>
  <c r="G4" i="5" s="1"/>
  <c r="E40" i="4" s="1" a="1"/>
  <c r="E40" i="4" s="1"/>
  <c r="L39" i="2"/>
  <c r="M38" i="2"/>
  <c r="M27" i="2"/>
  <c r="M28" i="2"/>
  <c r="K37" i="2" a="1"/>
  <c r="K27" i="2" a="1"/>
  <c r="G37" i="2" a="1"/>
  <c r="K28" i="2" a="1"/>
  <c r="K28" i="2" l="1"/>
  <c r="G37" i="2"/>
  <c r="K27" i="2"/>
  <c r="C3" i="3" s="1"/>
  <c r="K37" i="2"/>
  <c r="H35" i="2" a="1"/>
  <c r="H35" i="2" s="1"/>
  <c r="H36" i="2" a="1"/>
  <c r="H36" i="2" s="1"/>
  <c r="H34" i="2" a="1"/>
  <c r="H34" i="2" s="1"/>
  <c r="E525" i="4"/>
  <c r="D525" i="4"/>
  <c r="C525" i="4"/>
  <c r="E70" i="4"/>
  <c r="D70" i="4"/>
  <c r="C70" i="4"/>
  <c r="E5" i="4" a="1"/>
  <c r="E5" i="4" s="1"/>
  <c r="E35" i="4" s="1"/>
  <c r="E5" i="3" a="1"/>
  <c r="E5" i="3" s="1"/>
  <c r="M39" i="2"/>
  <c r="L40" i="2"/>
  <c r="K38" i="2" a="1"/>
  <c r="G38" i="2" a="1"/>
  <c r="H37" i="2" l="1" a="1"/>
  <c r="H37" i="2" s="1"/>
  <c r="G38" i="2"/>
  <c r="H38" i="2" s="1" a="1"/>
  <c r="H38" i="2" s="1"/>
  <c r="K38" i="2"/>
  <c r="D35" i="4"/>
  <c r="M40" i="2"/>
  <c r="L41" i="2"/>
  <c r="K39" i="2" a="1"/>
  <c r="G39" i="2" a="1"/>
  <c r="G39" i="2" l="1"/>
  <c r="H39" i="2" s="1" a="1"/>
  <c r="H39" i="2" s="1"/>
  <c r="K39" i="2"/>
  <c r="M41" i="2"/>
  <c r="L42" i="2"/>
  <c r="K40" i="2" a="1"/>
  <c r="G40" i="2" a="1"/>
  <c r="G40" i="2" l="1"/>
  <c r="H40" i="2" s="1" a="1"/>
  <c r="H40" i="2" s="1"/>
  <c r="K40" i="2"/>
  <c r="M42" i="2"/>
  <c r="L43" i="2"/>
  <c r="K41" i="2" a="1"/>
  <c r="G41" i="2" a="1"/>
  <c r="G41" i="2" l="1"/>
  <c r="H41" i="2" s="1" a="1"/>
  <c r="H41" i="2" s="1"/>
  <c r="K41" i="2"/>
  <c r="M43" i="2"/>
  <c r="L44" i="2"/>
  <c r="K42" i="2" a="1"/>
  <c r="G42" i="2" a="1"/>
  <c r="G42" i="2" l="1"/>
  <c r="H42" i="2" s="1" a="1"/>
  <c r="H42" i="2" s="1"/>
  <c r="K42" i="2"/>
  <c r="M44" i="2"/>
  <c r="L45" i="2"/>
  <c r="H5" i="5"/>
  <c r="I5" i="5"/>
  <c r="E5" i="5" s="1"/>
  <c r="E105" i="3" s="1" a="1"/>
  <c r="E105" i="3" s="1"/>
  <c r="G43" i="2" a="1"/>
  <c r="K43" i="2" a="1"/>
  <c r="K43" i="2" l="1"/>
  <c r="G43" i="2"/>
  <c r="H43" i="2" s="1" a="1"/>
  <c r="H43" i="2" s="1"/>
  <c r="M45" i="2"/>
  <c r="L46" i="2"/>
  <c r="K44" i="2" a="1"/>
  <c r="G44" i="2" a="1"/>
  <c r="M46" i="2" l="1"/>
  <c r="L47" i="2"/>
  <c r="G44" i="2"/>
  <c r="H44" i="2" s="1" a="1"/>
  <c r="H44" i="2" s="1"/>
  <c r="K44" i="2"/>
  <c r="C3" i="4" s="1"/>
  <c r="K45" i="2" a="1"/>
  <c r="G45" i="2" a="1"/>
  <c r="K46" i="2" a="1"/>
  <c r="G46" i="2" a="1"/>
  <c r="M47" i="2" l="1"/>
  <c r="L48" i="2"/>
  <c r="G46" i="2"/>
  <c r="H46" i="2" s="1" a="1"/>
  <c r="H46" i="2" s="1"/>
  <c r="K46" i="2"/>
  <c r="G45" i="2"/>
  <c r="H45" i="2" s="1" a="1"/>
  <c r="H45" i="2" s="1"/>
  <c r="K45" i="2"/>
  <c r="M48" i="2" l="1"/>
  <c r="L49" i="2"/>
  <c r="M49" i="2" s="1"/>
  <c r="G47" i="2" a="1"/>
  <c r="G47" i="2" s="1"/>
  <c r="H47" i="2" s="1" a="1"/>
  <c r="H47" i="2" s="1"/>
  <c r="K47" i="2" a="1"/>
  <c r="K47" i="2" s="1"/>
  <c r="K49" i="2" l="1" a="1"/>
  <c r="K49" i="2" s="1"/>
  <c r="G49" i="2" a="1"/>
  <c r="G49" i="2" s="1"/>
  <c r="H49" i="2" s="1" a="1"/>
  <c r="H49" i="2" s="1"/>
  <c r="G48" i="2" a="1"/>
  <c r="G48" i="2" s="1"/>
  <c r="H48" i="2" s="1" a="1"/>
  <c r="H48" i="2" s="1"/>
  <c r="K48" i="2" a="1"/>
  <c r="K48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<sst xmlns="http://schemas.openxmlformats.org/spreadsheetml/2006/main" count="7530" uniqueCount="2903">
  <si>
    <t xml:space="preserve">Version </t>
  </si>
  <si>
    <t>5.9</t>
  </si>
  <si>
    <t>Regnearket er udarbejdet med henblik på at skulle bruges til at generere graviditets CDA'er gennem et script.</t>
  </si>
  <si>
    <t>Scriptet forudsætter at data indtastet i arket er "korrekt" ift. formatering og datatyper</t>
  </si>
  <si>
    <t>6.3</t>
  </si>
  <si>
    <t>Versioneringsnummeret er uafhængigt af versioneringsnummeret for testpersonaerne, og relaterer sig til hvilken version af scriptet der skal bruges til at generere CDA'er udfra.</t>
  </si>
  <si>
    <t>Tilføjet mulighed for trillinger under målinger</t>
  </si>
  <si>
    <t>Forbedret formatering af sprog- og landekode</t>
  </si>
  <si>
    <t>Forlænget default mulige antal målinger til 15 CDA'er, og opdateret tilsvarede logik under Datavalidering</t>
  </si>
  <si>
    <t>Forbedret opslagsfunktioner under målinger</t>
  </si>
  <si>
    <t>Diverse stavefejl</t>
  </si>
  <si>
    <t>Forbedret formatering af urinmålinger</t>
  </si>
  <si>
    <t>6.5</t>
  </si>
  <si>
    <t>Rettet fejl i logikken der bruges til at fange de rigtige SNOMED koder</t>
  </si>
  <si>
    <t>Rettet enkelte fejl i datavalidering</t>
  </si>
  <si>
    <t>Svangerskabsjournal</t>
  </si>
  <si>
    <t>Cpr</t>
  </si>
  <si>
    <t>Fornavn</t>
  </si>
  <si>
    <t>Mellemnavn</t>
  </si>
  <si>
    <t>Efternavn</t>
  </si>
  <si>
    <t>Alder</t>
  </si>
  <si>
    <t>SNOMED for klasse/attribut</t>
  </si>
  <si>
    <t>Kode for klasse</t>
  </si>
  <si>
    <t>SNOMED for udfald</t>
  </si>
  <si>
    <t>SNOMED navn for udfald</t>
  </si>
  <si>
    <t>Antal svangre-CDA'er</t>
  </si>
  <si>
    <t>Svangrejournal 1</t>
  </si>
  <si>
    <t>Aftale</t>
  </si>
  <si>
    <t>Dato</t>
  </si>
  <si>
    <t>GA ved aftale</t>
  </si>
  <si>
    <t>Første besøg hos egen læge</t>
  </si>
  <si>
    <t>Start</t>
  </si>
  <si>
    <t>Sprog</t>
  </si>
  <si>
    <t>Behov for tolkebistand</t>
  </si>
  <si>
    <t>ja/nej</t>
  </si>
  <si>
    <t>Tolkesprog</t>
  </si>
  <si>
    <t>ISO Sprog</t>
  </si>
  <si>
    <t>Oprindelsesland</t>
  </si>
  <si>
    <t>ISO Land</t>
  </si>
  <si>
    <t>Supplerende oplysninger</t>
  </si>
  <si>
    <t>Tekst</t>
  </si>
  <si>
    <t>Fysiske data</t>
  </si>
  <si>
    <t>Vægt ved graviditets begyndelse</t>
  </si>
  <si>
    <t>Tal</t>
  </si>
  <si>
    <t>Højde</t>
  </si>
  <si>
    <t>BMI</t>
  </si>
  <si>
    <t>Beregnes</t>
  </si>
  <si>
    <t>Sociale Forhold</t>
  </si>
  <si>
    <t>Boligforhold</t>
  </si>
  <si>
    <t>Liste</t>
  </si>
  <si>
    <t>Partners Navn</t>
  </si>
  <si>
    <t>Navn</t>
  </si>
  <si>
    <t>Partnerrelation</t>
  </si>
  <si>
    <t>Juridisk medforælders navn</t>
  </si>
  <si>
    <t>Juridisk medforælders personnummer</t>
  </si>
  <si>
    <t>CPR</t>
  </si>
  <si>
    <t>Bemærkning om familiesammensætning og husstand</t>
  </si>
  <si>
    <t>Tidligere fødsler</t>
  </si>
  <si>
    <t>Antal fødsler</t>
  </si>
  <si>
    <t>0..6</t>
  </si>
  <si>
    <t>Tidligere fødsel</t>
  </si>
  <si>
    <t>Fødsel 1</t>
  </si>
  <si>
    <t>Fødsel 2</t>
  </si>
  <si>
    <t>Fødsel 3</t>
  </si>
  <si>
    <t>Fødsel 4</t>
  </si>
  <si>
    <t>Fødsel 5</t>
  </si>
  <si>
    <t>Fødsel 6</t>
  </si>
  <si>
    <t>Antal børn pe fødsel</t>
  </si>
  <si>
    <t>1..2</t>
  </si>
  <si>
    <t>Tidligere fødsel år</t>
  </si>
  <si>
    <t>tal</t>
  </si>
  <si>
    <t>Fødested</t>
  </si>
  <si>
    <t>Gestationsalder</t>
  </si>
  <si>
    <t>Graviditetsforløb</t>
  </si>
  <si>
    <t>0..*</t>
  </si>
  <si>
    <t>Andre bemærkninger om graviditetsforløb</t>
  </si>
  <si>
    <t>tekst</t>
  </si>
  <si>
    <t>Fødselsforløb</t>
  </si>
  <si>
    <t>Andre bemærkninger om fødselsforløb</t>
  </si>
  <si>
    <t>Fødselsoplevelse</t>
  </si>
  <si>
    <t>Ukompliceret barselsforløb</t>
  </si>
  <si>
    <t>Oplysninger om barselskomplikationer</t>
  </si>
  <si>
    <t>Barn</t>
  </si>
  <si>
    <t>fødsel 1 Barn 1</t>
  </si>
  <si>
    <t>fødsel 2 Barn 1</t>
  </si>
  <si>
    <t>fødsel 3 Barn 1</t>
  </si>
  <si>
    <t>fødsel 4 Barn 1</t>
  </si>
  <si>
    <t>fødsel 5 Barn 1</t>
  </si>
  <si>
    <t>fødsel 6 Barn 1</t>
  </si>
  <si>
    <t>Barn levende/død</t>
  </si>
  <si>
    <t>Død efter fødslen</t>
  </si>
  <si>
    <t>Køn</t>
  </si>
  <si>
    <t>Fødselsvægt</t>
  </si>
  <si>
    <t>Komplikationer i barselsperioden</t>
  </si>
  <si>
    <t>Barnets nuværende tilstand</t>
  </si>
  <si>
    <t>fødsel 1 Barn 2</t>
  </si>
  <si>
    <t>fødsel 2 Barn 2</t>
  </si>
  <si>
    <t>fødsel 3 Barn 2</t>
  </si>
  <si>
    <t>fødsel 4 Barn 2</t>
  </si>
  <si>
    <t>fødsel 5 Barn 2</t>
  </si>
  <si>
    <t>fødsel 6 Barn 2</t>
  </si>
  <si>
    <t>Tidligere aborter</t>
  </si>
  <si>
    <t>Antal aborter</t>
  </si>
  <si>
    <t>Tidligere abort</t>
  </si>
  <si>
    <t>Abort 1</t>
  </si>
  <si>
    <t>Abort 2</t>
  </si>
  <si>
    <t>Abort 3</t>
  </si>
  <si>
    <t>Abort 4</t>
  </si>
  <si>
    <t>Abort 5</t>
  </si>
  <si>
    <t>Abort 6</t>
  </si>
  <si>
    <t>Aborttype</t>
  </si>
  <si>
    <t>År</t>
  </si>
  <si>
    <t>Graviditetsuge</t>
  </si>
  <si>
    <t>Fertilitetsbehandling</t>
  </si>
  <si>
    <t>Fertilitetsbehandlingstype</t>
  </si>
  <si>
    <t>Bemærkninger</t>
  </si>
  <si>
    <t>Langvarigt uhonoreret graviditetsønske</t>
  </si>
  <si>
    <t>Familiehistorie, herunder arvelige sygdomme</t>
  </si>
  <si>
    <t>Medfødte misdannelser hos fosterets biologiske familie</t>
  </si>
  <si>
    <t>Oplysninger om medfødte misdannelser, berørte familiemedlemmer og behandlingsbehov</t>
  </si>
  <si>
    <t>Genetisk sygdom eller anden relevant medfødt sygdom eller tilstand i fosterets biologiske familie</t>
  </si>
  <si>
    <t>Oplysninger om genetisk eller medfødt sygdom, berørte familiemedlemmer og behandlingsbehov</t>
  </si>
  <si>
    <t>Screening aktuel eller tidligere graviditet</t>
  </si>
  <si>
    <t>Resultattype</t>
  </si>
  <si>
    <t>Forældre der er anlægsbærer for hæmoglobinopati</t>
  </si>
  <si>
    <t>0..2</t>
  </si>
  <si>
    <t>Indikation for henvisning til udredning</t>
  </si>
  <si>
    <t>Prænatal risikovurdering</t>
  </si>
  <si>
    <t>Konsangvinitet</t>
  </si>
  <si>
    <t>Ønskes 1. trimester scanning i uge 11-13?</t>
  </si>
  <si>
    <t>Ønskes 2. trimester scanning i uge 18-20?</t>
  </si>
  <si>
    <t>Ønske om risikovurdering</t>
  </si>
  <si>
    <t>Arbejdsmiljøpåvirkning</t>
  </si>
  <si>
    <t>Den gravides arbejde</t>
  </si>
  <si>
    <t>Timer pr. uge</t>
  </si>
  <si>
    <t>Arbejdstidspunkt</t>
  </si>
  <si>
    <t>Partners arbejde</t>
  </si>
  <si>
    <t>Type af arbejdsmiljøpåvirkning</t>
  </si>
  <si>
    <t>Art af påvirkning</t>
  </si>
  <si>
    <t>Dato for start af påvirkningsperiode</t>
  </si>
  <si>
    <t>Dato for afslutning af påvirkningsperiode</t>
  </si>
  <si>
    <t>Henvist til arbejdsmedicinsk klinik</t>
  </si>
  <si>
    <t>Ja/nej</t>
  </si>
  <si>
    <t>fraværsmelding/sygemelding</t>
  </si>
  <si>
    <t>Fraværsmeldt</t>
  </si>
  <si>
    <t>Sygemelding</t>
  </si>
  <si>
    <t>Andre bemærkninger</t>
  </si>
  <si>
    <t>Allergisk disposition</t>
  </si>
  <si>
    <t>Barnet disponeret for allergisk sygdom</t>
  </si>
  <si>
    <t>Allergi</t>
  </si>
  <si>
    <t>Gravides allergi</t>
  </si>
  <si>
    <t>Den gravide er allergisk overfor</t>
  </si>
  <si>
    <t>Screeningsplanlægning</t>
  </si>
  <si>
    <t>HIV</t>
  </si>
  <si>
    <t>Planlagt/fravalgt</t>
  </si>
  <si>
    <t>Syfillis</t>
  </si>
  <si>
    <t>Blodtype-blodprøve</t>
  </si>
  <si>
    <t>Hepatitis B</t>
  </si>
  <si>
    <t>Medicin og vacciner</t>
  </si>
  <si>
    <t>Supplerende oplysninger om medicin og naturlægemidler</t>
  </si>
  <si>
    <t>Bemækninger om evt. fravalg af vacciner</t>
  </si>
  <si>
    <t>Tidligere Operation af relevans for graviditeten</t>
  </si>
  <si>
    <t>Operation</t>
  </si>
  <si>
    <t>Type (Skal ikke udfyldes)</t>
  </si>
  <si>
    <t>Årstal</t>
  </si>
  <si>
    <t>Operationstype</t>
  </si>
  <si>
    <t>Somatisk sygdom</t>
  </si>
  <si>
    <t>Ja</t>
  </si>
  <si>
    <t>Somatisk type</t>
  </si>
  <si>
    <t>Psykisk sygdom &amp; Social sårbarhedder</t>
  </si>
  <si>
    <t>Psykisk sygdom/sårbarhed</t>
  </si>
  <si>
    <t>Behandling modtaget</t>
  </si>
  <si>
    <t>Oplysninger om psykisk sygdom</t>
  </si>
  <si>
    <t>Social sårbarhed af relevans for graviditeten</t>
  </si>
  <si>
    <t>Supplerende oplysninger om overgreb, vold og opvækstmiljø</t>
  </si>
  <si>
    <t>Vandrejournal</t>
  </si>
  <si>
    <t>Resume tørresnor</t>
  </si>
  <si>
    <t>123498-1234</t>
  </si>
  <si>
    <t>Nomina</t>
  </si>
  <si>
    <t>Medius</t>
  </si>
  <si>
    <t>Suffix</t>
  </si>
  <si>
    <t>OBS Må ikke skrives i, kun til oversigt</t>
  </si>
  <si>
    <t>Antal  Vandrejournal CDA'er</t>
  </si>
  <si>
    <t>Antal</t>
  </si>
  <si>
    <t>Resuméer</t>
  </si>
  <si>
    <t>Vandrejournal 1</t>
  </si>
  <si>
    <t>dd-mm-yyyy</t>
  </si>
  <si>
    <t>-</t>
  </si>
  <si>
    <t>Terminsberegning</t>
  </si>
  <si>
    <t>Sidste mens. 1. dag</t>
  </si>
  <si>
    <t>Antal dage i cyklus</t>
  </si>
  <si>
    <t>tal/interval</t>
  </si>
  <si>
    <t>Naegeles termin</t>
  </si>
  <si>
    <t>Dato (Beregnes)</t>
  </si>
  <si>
    <t>Beregning sikker?</t>
  </si>
  <si>
    <t>Den gravides uddannelsesniveau og ​ erhvervstilknytning</t>
  </si>
  <si>
    <t>Højeste uddannelsesniveau</t>
  </si>
  <si>
    <t>Andet uddannelsesniveau</t>
  </si>
  <si>
    <t>Erhvervsmæssig Tilknytning</t>
  </si>
  <si>
    <t>Anden erhvervsmæssig tilknytning</t>
  </si>
  <si>
    <t>Ydelsestype</t>
  </si>
  <si>
    <t>Tobak og nikotin</t>
  </si>
  <si>
    <t>Resume 'fra målinger'</t>
  </si>
  <si>
    <t>Rygning før graviditet</t>
  </si>
  <si>
    <t>Målinger!E12</t>
  </si>
  <si>
    <t>Målinger!C5</t>
  </si>
  <si>
    <t>Rygning under graviditet</t>
  </si>
  <si>
    <t>Målinger!E47</t>
  </si>
  <si>
    <t>Målinger!C40</t>
  </si>
  <si>
    <t>Dato for rygeophør</t>
  </si>
  <si>
    <t>Målinger!E82</t>
  </si>
  <si>
    <t>Målinger!C75</t>
  </si>
  <si>
    <t>Udsat for passiv rygning i hjemmet</t>
  </si>
  <si>
    <t>Målinger!E117</t>
  </si>
  <si>
    <t>Målinger!C110</t>
  </si>
  <si>
    <t>Udsat for passiv rygning på arbejdspladsen</t>
  </si>
  <si>
    <t>Målinger!E152</t>
  </si>
  <si>
    <t>Målinger!C145</t>
  </si>
  <si>
    <t>Henvist til tobaks- og nikotinstop</t>
  </si>
  <si>
    <t>Målinger!E187</t>
  </si>
  <si>
    <t>Målinger!C180</t>
  </si>
  <si>
    <t>Andet nikotinforbrug før graviditet</t>
  </si>
  <si>
    <t>Målinger!E222</t>
  </si>
  <si>
    <t>Målinger!C215</t>
  </si>
  <si>
    <t>Bruger af nikotinprodukt under graviditet</t>
  </si>
  <si>
    <t>Målinger!E257</t>
  </si>
  <si>
    <t>Målinger!C250</t>
  </si>
  <si>
    <t>Dato for ophør af andet nikotinprodukt</t>
  </si>
  <si>
    <t>Målinger!E292</t>
  </si>
  <si>
    <t>Målinger!C285</t>
  </si>
  <si>
    <t>Andet nikotinprodukt</t>
  </si>
  <si>
    <t>Målinger!E327</t>
  </si>
  <si>
    <t>Målinger!C320</t>
  </si>
  <si>
    <t>Nikotinposer</t>
  </si>
  <si>
    <t>Målinger!E362</t>
  </si>
  <si>
    <t>Målinger!C355</t>
  </si>
  <si>
    <t>Nikotinposer antal/dag</t>
  </si>
  <si>
    <t>Målinger!E397</t>
  </si>
  <si>
    <t>Målinger!C390</t>
  </si>
  <si>
    <t>Nikotintyggegummi</t>
  </si>
  <si>
    <t>Målinger!E432</t>
  </si>
  <si>
    <t>Målinger!C425</t>
  </si>
  <si>
    <t>Nikotintyggegummi antal/dag</t>
  </si>
  <si>
    <t>Målinger!E467</t>
  </si>
  <si>
    <t>Målinger!C460</t>
  </si>
  <si>
    <t>E-cigaret</t>
  </si>
  <si>
    <t>Målinger!E502</t>
  </si>
  <si>
    <t>Målinger!C495</t>
  </si>
  <si>
    <t>E-cigaret milliliter/dag</t>
  </si>
  <si>
    <t>Tyggetobak</t>
  </si>
  <si>
    <t>Tyggetobak antal/dag</t>
  </si>
  <si>
    <t>Vandpibe</t>
  </si>
  <si>
    <t>Vandpibeforbrug</t>
  </si>
  <si>
    <t>Andet</t>
  </si>
  <si>
    <t>Alkohol</t>
  </si>
  <si>
    <t>Alkoholindtag før graviditet</t>
  </si>
  <si>
    <t>Genstande pr. uge før graviditet</t>
  </si>
  <si>
    <t>Indtag af alkohol under graviditet</t>
  </si>
  <si>
    <t>Genstande pr. uge under graviditet</t>
  </si>
  <si>
    <t>Antal gange med fem eller flere genstande</t>
  </si>
  <si>
    <t>I hvilken graviditetsuge?</t>
  </si>
  <si>
    <t>TWEAK Points (0-7 points)</t>
  </si>
  <si>
    <t>Rusmidler og ikke-lægeordinerede afhængighedsskabende lægemidler</t>
  </si>
  <si>
    <t>Forbrug af Rusmidler og ikke-lægeordinerede afhængighedsskabende lægemidler indenfor de sidste to år</t>
  </si>
  <si>
    <t>Stoftype</t>
  </si>
  <si>
    <t>Type</t>
  </si>
  <si>
    <t>Stof</t>
  </si>
  <si>
    <t>Kost og motion</t>
  </si>
  <si>
    <t>Bemærkninger vedr. kost</t>
  </si>
  <si>
    <t>Bemærkninger vedr. motion</t>
  </si>
  <si>
    <t>Oplysninger om partner</t>
  </si>
  <si>
    <t>Partners erhvervsmæssige tilknytning</t>
  </si>
  <si>
    <t>Partner har udfordringer med fysisk helbred</t>
  </si>
  <si>
    <t>Partner har udfordringer med mentalt helbred</t>
  </si>
  <si>
    <t>Alkoholmisbrug hos partner</t>
  </si>
  <si>
    <t>Rusmiddelmisbrug hos partner</t>
  </si>
  <si>
    <t>Sociale udfordringer hos partner</t>
  </si>
  <si>
    <t>Andre oplysninger om partner herunder opvækstmiljø og familieforhold</t>
  </si>
  <si>
    <t>Kontaktpunkter</t>
  </si>
  <si>
    <t>Ønsket fødested</t>
  </si>
  <si>
    <t>Ønskes hjemmefødsel</t>
  </si>
  <si>
    <t>Primært planlagt fødested</t>
  </si>
  <si>
    <t>Navn fra SOR</t>
  </si>
  <si>
    <t>SOR</t>
  </si>
  <si>
    <t>ID fra SOR</t>
  </si>
  <si>
    <t>Tilknyttet jordemodercenter</t>
  </si>
  <si>
    <t>Ønsket jordemodercenter</t>
  </si>
  <si>
    <t>Evt. ønsket jordemoder</t>
  </si>
  <si>
    <t>Evt. ønsket ugedag (for konsultationer)</t>
  </si>
  <si>
    <t>Ugedag</t>
  </si>
  <si>
    <t>Ønskes fødselsforberedende undervisning</t>
  </si>
  <si>
    <t>Konsultationsform for jordemoderkonsultation</t>
  </si>
  <si>
    <t>liste</t>
  </si>
  <si>
    <t>Sundhedsplejen</t>
  </si>
  <si>
    <t>Samlet vurdering</t>
  </si>
  <si>
    <t>Omsorgsniveau</t>
  </si>
  <si>
    <t>Behov for henvisning til obstetrisk vurdering</t>
  </si>
  <si>
    <t>Årsag til behov for obstetrisk henvisning</t>
  </si>
  <si>
    <t>Behov for henvisning til Social- og Sundhedsforvaltningen</t>
  </si>
  <si>
    <t>Årsag til behov for henvisning til social- og sundhedsforvaltningen</t>
  </si>
  <si>
    <t>Flerfoldsgraviditet</t>
  </si>
  <si>
    <t>Bemærkninger om flerfoldsgraviditet og eventuelle risikofaktorer</t>
  </si>
  <si>
    <t>Resume</t>
  </si>
  <si>
    <t>Vandrejournal 2</t>
  </si>
  <si>
    <t>Vandrejournal 3</t>
  </si>
  <si>
    <t/>
  </si>
  <si>
    <t>Vandrejournal 4</t>
  </si>
  <si>
    <t>Vandrejournal 5</t>
  </si>
  <si>
    <t>Målinger</t>
  </si>
  <si>
    <t>SNOMED udfald</t>
  </si>
  <si>
    <t>Antal målinger</t>
  </si>
  <si>
    <t>Måling 1</t>
  </si>
  <si>
    <t>Undersøgelsesdato</t>
  </si>
  <si>
    <t>Systolisk blodtryk</t>
  </si>
  <si>
    <t>Diastolisk blodtryk</t>
  </si>
  <si>
    <t>Vægt (mors vægt)</t>
  </si>
  <si>
    <t>kg</t>
  </si>
  <si>
    <t>cm</t>
  </si>
  <si>
    <t>Udregnes</t>
  </si>
  <si>
    <t>Evt resume</t>
  </si>
  <si>
    <t>Ødem lokalisation</t>
  </si>
  <si>
    <t>Ødem beskrivelse</t>
  </si>
  <si>
    <t>Symfyse-fundus</t>
  </si>
  <si>
    <t>Choriositet</t>
  </si>
  <si>
    <t>Cervixlængde</t>
  </si>
  <si>
    <t>mm</t>
  </si>
  <si>
    <t>Ultralydsbestemt termin</t>
  </si>
  <si>
    <t>bør beregnes pga. nterm</t>
  </si>
  <si>
    <t>Urinprøver</t>
  </si>
  <si>
    <t>GLU (U-Glocose POC)</t>
  </si>
  <si>
    <t>LEU (U-Leucocytter POC)</t>
  </si>
  <si>
    <t>KET (U-Acetoacetat POC)</t>
  </si>
  <si>
    <t>PRO (U-Protein POC)</t>
  </si>
  <si>
    <t>BLO (U-erytrocytter POC)</t>
  </si>
  <si>
    <t>NIT (U-Bacterium Nitrit)</t>
  </si>
  <si>
    <t>Fostermåling</t>
  </si>
  <si>
    <t>Antal fostre</t>
  </si>
  <si>
    <t>1..3</t>
  </si>
  <si>
    <t>Foster</t>
  </si>
  <si>
    <t>Foster 1</t>
  </si>
  <si>
    <t>Foster 2</t>
  </si>
  <si>
    <t>Foster 3</t>
  </si>
  <si>
    <t>Fosterskøn</t>
  </si>
  <si>
    <t>Hjertelyd</t>
  </si>
  <si>
    <t>Fosteraktivitet</t>
  </si>
  <si>
    <t>Fosterpræsentation</t>
  </si>
  <si>
    <t>UL fosterpræsentation</t>
  </si>
  <si>
    <t>Kromosomafvigelser</t>
  </si>
  <si>
    <t>UL Vægt</t>
  </si>
  <si>
    <t>UL vægtafvigelse</t>
  </si>
  <si>
    <t>Fostervand</t>
  </si>
  <si>
    <t>normal</t>
  </si>
  <si>
    <t>Placentaplacering</t>
  </si>
  <si>
    <t>Måling 2</t>
  </si>
  <si>
    <t>Måling 3</t>
  </si>
  <si>
    <t>Måling 4</t>
  </si>
  <si>
    <t>Måling 5</t>
  </si>
  <si>
    <t>Måling 6</t>
  </si>
  <si>
    <t>Måling 7</t>
  </si>
  <si>
    <t>Måling 8</t>
  </si>
  <si>
    <t>Måling 9</t>
  </si>
  <si>
    <t>Måling 10</t>
  </si>
  <si>
    <t>Måling 11</t>
  </si>
  <si>
    <t>Måling 12</t>
  </si>
  <si>
    <t>Måling 13</t>
  </si>
  <si>
    <t>Måling 14</t>
  </si>
  <si>
    <t>Måling 15</t>
  </si>
  <si>
    <t>Mellemregninger</t>
  </si>
  <si>
    <t>Mellemregninger UL</t>
  </si>
  <si>
    <t>CDA oversigt</t>
  </si>
  <si>
    <t>CDA Timestamp</t>
  </si>
  <si>
    <t>SOR performer</t>
  </si>
  <si>
    <t>Aftale / begivenhed</t>
  </si>
  <si>
    <t>GA</t>
  </si>
  <si>
    <t>Gældende termin</t>
  </si>
  <si>
    <t>UL GA</t>
  </si>
  <si>
    <t>Forskel dage</t>
  </si>
  <si>
    <t>Forskel uger</t>
  </si>
  <si>
    <t>Sidste mens 1. dag</t>
  </si>
  <si>
    <t>0+0</t>
  </si>
  <si>
    <t>Svanger</t>
  </si>
  <si>
    <t>Vandre</t>
  </si>
  <si>
    <t>evt klokkeslet</t>
  </si>
  <si>
    <t>læge</t>
  </si>
  <si>
    <t>1. trimesterscanning</t>
  </si>
  <si>
    <t>Jdm.</t>
  </si>
  <si>
    <t>Besøg hos jordemoder (Uge 10-15)</t>
  </si>
  <si>
    <t>2. trimesterscanning</t>
  </si>
  <si>
    <t>Besøg hos jordemoder  (Uge 21)</t>
  </si>
  <si>
    <t>Besøg hos egen læge (Uge 25)</t>
  </si>
  <si>
    <t>Besøg hos jordemoder (Uge 29)</t>
  </si>
  <si>
    <t>Besøg hos egen læge (Uge 32)</t>
  </si>
  <si>
    <t>Besøg hos jordemoder (Uge 35-36)</t>
  </si>
  <si>
    <t>Lægekonsultation post-partum</t>
  </si>
  <si>
    <t>Sundhedsplejerske</t>
  </si>
  <si>
    <t>Obstetriker</t>
  </si>
  <si>
    <t>Sonograf</t>
  </si>
  <si>
    <t>Tilvækstscanning 1</t>
  </si>
  <si>
    <t>Tilvækstscanning 2</t>
  </si>
  <si>
    <t>Tilvækstscanning 3</t>
  </si>
  <si>
    <t>Tilvækstscanning 4</t>
  </si>
  <si>
    <t>Tilvækstscanning 5</t>
  </si>
  <si>
    <t>Aftalenavn</t>
  </si>
  <si>
    <t>Totaler</t>
  </si>
  <si>
    <t>Total</t>
  </si>
  <si>
    <t>CDA'er med indhold</t>
  </si>
  <si>
    <t>Tomme vandrejournaler kun med resume inkl</t>
  </si>
  <si>
    <t>Barn levende død</t>
  </si>
  <si>
    <t>Sor performers</t>
  </si>
  <si>
    <t>Tidligere operationer</t>
  </si>
  <si>
    <t>type</t>
  </si>
  <si>
    <t>Erhvervsmæssig tilknytning</t>
  </si>
  <si>
    <t>Ydelse</t>
  </si>
  <si>
    <t>Brug af andet nikotinprodukt under graviditet</t>
  </si>
  <si>
    <t>Eks</t>
  </si>
  <si>
    <t>ugedag</t>
  </si>
  <si>
    <t>Konsultationsform</t>
  </si>
  <si>
    <t>UrinNit</t>
  </si>
  <si>
    <t>U-Erytrocytter</t>
  </si>
  <si>
    <t>U-Leukocytter</t>
  </si>
  <si>
    <t>U-Protein</t>
  </si>
  <si>
    <t>U-Glukose</t>
  </si>
  <si>
    <t>U-Acetoaceta</t>
  </si>
  <si>
    <t>Samboende</t>
  </si>
  <si>
    <t>Ægtefælle</t>
  </si>
  <si>
    <t>Ukompliceret graviditet</t>
  </si>
  <si>
    <t>Akut kejsersnit</t>
  </si>
  <si>
    <t>God</t>
  </si>
  <si>
    <t>Levendefødt</t>
  </si>
  <si>
    <t>Dreng</t>
  </si>
  <si>
    <t>Provokeret</t>
  </si>
  <si>
    <t>Donorinsemination</t>
  </si>
  <si>
    <t>Nej</t>
  </si>
  <si>
    <t>Nuværende graviditet</t>
  </si>
  <si>
    <t>Afventer</t>
  </si>
  <si>
    <t>Mor</t>
  </si>
  <si>
    <t>Primært om dagen</t>
  </si>
  <si>
    <t>Ergonomisk</t>
  </si>
  <si>
    <t>Enkelt (forældre/søskende)</t>
  </si>
  <si>
    <t>Planlagt</t>
  </si>
  <si>
    <t>Skillevæg i livmoderen</t>
  </si>
  <si>
    <t>Operation i livmoderen</t>
  </si>
  <si>
    <t>Forhøjet blodtryk</t>
  </si>
  <si>
    <t>Sygdom i kredsløbsorganer</t>
  </si>
  <si>
    <t>Grundskoleuddannelse</t>
  </si>
  <si>
    <t>I arbejde</t>
  </si>
  <si>
    <t>Modtager kontanthjælp</t>
  </si>
  <si>
    <t>Ryger ikke</t>
  </si>
  <si>
    <t>dagligt</t>
  </si>
  <si>
    <t>Cannabis</t>
  </si>
  <si>
    <t>(f.eks. hash, pot, marihuana, skunk)</t>
  </si>
  <si>
    <t>I arbejde/uddannelse</t>
  </si>
  <si>
    <t>Mandag</t>
  </si>
  <si>
    <t>Individuel</t>
  </si>
  <si>
    <t>1: Basistilbud</t>
  </si>
  <si>
    <t>Negativ</t>
  </si>
  <si>
    <t>H</t>
  </si>
  <si>
    <t>ingen</t>
  </si>
  <si>
    <t>Hjertelyd ikke påvist</t>
  </si>
  <si>
    <t>høj</t>
  </si>
  <si>
    <t>0 - 5</t>
  </si>
  <si>
    <t>0 - 8</t>
  </si>
  <si>
    <t>0 - 0,08</t>
  </si>
  <si>
    <t>0 - 2,8</t>
  </si>
  <si>
    <t>0 - 0,25</t>
  </si>
  <si>
    <t>Bor alene</t>
  </si>
  <si>
    <t>Registreret partner</t>
  </si>
  <si>
    <t>Peri- eller neonatalt dødsfald</t>
  </si>
  <si>
    <t>Andre komplikationer</t>
  </si>
  <si>
    <t>Neutral</t>
  </si>
  <si>
    <t>Dødfødt</t>
  </si>
  <si>
    <t>Pige</t>
  </si>
  <si>
    <t>Spontan</t>
  </si>
  <si>
    <t>IVF</t>
  </si>
  <si>
    <t>Ja, har ikke krævet behandling eller opfølgning</t>
  </si>
  <si>
    <t>Tidligere graviditet</t>
  </si>
  <si>
    <t>Fund</t>
  </si>
  <si>
    <t>Far</t>
  </si>
  <si>
    <t>Primært om aftenen</t>
  </si>
  <si>
    <t>Kemisk</t>
  </si>
  <si>
    <t>Delvis fraværsmelding</t>
  </si>
  <si>
    <t>Dobbelt</t>
  </si>
  <si>
    <t>Fravalgt</t>
  </si>
  <si>
    <t>Fjernelse af fibrom/muskelknude</t>
  </si>
  <si>
    <t>Hjertesygdom</t>
  </si>
  <si>
    <t>Erhvervsuddannelse</t>
  </si>
  <si>
    <t>Arbejdssøgende</t>
  </si>
  <si>
    <t>Modtager revalidering</t>
  </si>
  <si>
    <t>Ophørt med rygning i 1. trimester</t>
  </si>
  <si>
    <t>ja</t>
  </si>
  <si>
    <t>lejlighedsvis</t>
  </si>
  <si>
    <t>Stimulerende stoffer</t>
  </si>
  <si>
    <t>(f.eks. amfetamin, ecstasy, kokain)</t>
  </si>
  <si>
    <t>Ikke i arbejde/uddannelse</t>
  </si>
  <si>
    <t>Tirsdag</t>
  </si>
  <si>
    <t>Gruppe</t>
  </si>
  <si>
    <t>2: Udvidet basistilbud</t>
  </si>
  <si>
    <t>Positiv</t>
  </si>
  <si>
    <t>UK</t>
  </si>
  <si>
    <t>mindre</t>
  </si>
  <si>
    <t>Hjertelyd påvist</t>
  </si>
  <si>
    <t>lav</t>
  </si>
  <si>
    <t>mindsket</t>
  </si>
  <si>
    <t>5 - 18</t>
  </si>
  <si>
    <t>8 - 43</t>
  </si>
  <si>
    <t>0,08 - 0,23</t>
  </si>
  <si>
    <t>2,8 - 9,8</t>
  </si>
  <si>
    <t>0,25 - 1,0</t>
  </si>
  <si>
    <t>Ønskes ikke</t>
  </si>
  <si>
    <t>Samlever</t>
  </si>
  <si>
    <t>Svær præeklampsi/HELLP</t>
  </si>
  <si>
    <t>Bristning grad 4</t>
  </si>
  <si>
    <t>Dårlig</t>
  </si>
  <si>
    <t>Køn ukendt</t>
  </si>
  <si>
    <t>Ukendt</t>
  </si>
  <si>
    <t>Insemination</t>
  </si>
  <si>
    <t>Ja, har krævet behandling</t>
  </si>
  <si>
    <t>Normalt</t>
  </si>
  <si>
    <t>Primært om natten</t>
  </si>
  <si>
    <t>Biologisk</t>
  </si>
  <si>
    <t>Graviditet udenfor livmoderen</t>
  </si>
  <si>
    <t>Hjerneblødning</t>
  </si>
  <si>
    <t>Gymnasial uddannelse</t>
  </si>
  <si>
    <t>Hjemmegående</t>
  </si>
  <si>
    <t>Ophørt med rygning efter 1. trimester</t>
  </si>
  <si>
    <t>Ophørt med nikotinprodukt efter 1. trimester</t>
  </si>
  <si>
    <t>Beroligende lægemiddel</t>
  </si>
  <si>
    <t>(f.eks. sovemedicin, stesolid, rohypnol)</t>
  </si>
  <si>
    <t>Onsdag</t>
  </si>
  <si>
    <t>3: Udvidet basistilbud inkl. tværfagligt samarbejde</t>
  </si>
  <si>
    <t>TV</t>
  </si>
  <si>
    <t>øget</t>
  </si>
  <si>
    <t>18 - 53</t>
  </si>
  <si>
    <t>43 - 98</t>
  </si>
  <si>
    <t>0,23 - 0,7</t>
  </si>
  <si>
    <t>9,8 - 21</t>
  </si>
  <si>
    <t>1,0 - 2,75</t>
  </si>
  <si>
    <t>IUGR (væksthæmning) mellem 22- 30 pct</t>
  </si>
  <si>
    <t>Elektivt kejsernsnit</t>
  </si>
  <si>
    <t>Traumatisk</t>
  </si>
  <si>
    <t>Ægdonation</t>
  </si>
  <si>
    <t>Ja, årsag til afbrydelse af tidligere graviditet</t>
  </si>
  <si>
    <t>Skiftende vagter</t>
  </si>
  <si>
    <t>Keglesnitsoperation</t>
  </si>
  <si>
    <t>Blodprop</t>
  </si>
  <si>
    <t>Kort videregående uddannelse</t>
  </si>
  <si>
    <t>Pensioneret</t>
  </si>
  <si>
    <t>Ryger op til 5 cigaretter dagligt</t>
  </si>
  <si>
    <t>Ophørt med andet nikotinprodukt i 1. trimester</t>
  </si>
  <si>
    <t>Morfinlignende stoffer</t>
  </si>
  <si>
    <t>(f.eks. Oxycontin, Tramadol, Fentanyl, metadon, heroin, kodein, ketogan)</t>
  </si>
  <si>
    <t>Torsdag</t>
  </si>
  <si>
    <t>4: Samarbejde med specialiserede institutioner/familieambulatorie</t>
  </si>
  <si>
    <t>Skråleje</t>
  </si>
  <si>
    <t>53 - 140</t>
  </si>
  <si>
    <t>98 - 313</t>
  </si>
  <si>
    <t>0,7 - 2,0</t>
  </si>
  <si>
    <t>21 -42</t>
  </si>
  <si>
    <t>2,75 - 6,0</t>
  </si>
  <si>
    <t>Barn med medfødte misdannelser</t>
  </si>
  <si>
    <t>Præterm fødsel før 34+0</t>
  </si>
  <si>
    <t xml:space="preserve">
</t>
  </si>
  <si>
    <t>Endometrioseoperation</t>
  </si>
  <si>
    <t>Lungesygdom</t>
  </si>
  <si>
    <t>Sygdom i åndedrætsorganer</t>
  </si>
  <si>
    <t>Mellemlang videregående uddannelse</t>
  </si>
  <si>
    <t>Studerende/skoleelev</t>
  </si>
  <si>
    <t>Ryger fra 6-10 cigaretter dagligt</t>
  </si>
  <si>
    <t>Andre rusmidler</t>
  </si>
  <si>
    <t>(f.eks. svampe, ketamin, LSD, fantasy, sniffelim, lattergas eller andre opløsningsmidler)</t>
  </si>
  <si>
    <t>Fredag</t>
  </si>
  <si>
    <t>&gt; 140</t>
  </si>
  <si>
    <t>&gt; 313</t>
  </si>
  <si>
    <t>&gt; 2,0</t>
  </si>
  <si>
    <t>&gt; 42</t>
  </si>
  <si>
    <t>6,0 - 16</t>
  </si>
  <si>
    <t>Graviditets diabetes</t>
  </si>
  <si>
    <t>Ukompliceret fødselsforløb</t>
  </si>
  <si>
    <t>Gastrisk bypass</t>
  </si>
  <si>
    <t>Fedmeoperation</t>
  </si>
  <si>
    <t>Svær astma</t>
  </si>
  <si>
    <t>Lang videregående uddannelse</t>
  </si>
  <si>
    <t>Selvstændig erhvervsdrivende</t>
  </si>
  <si>
    <t>Ryger fra 11-20 cigaretter dagligt</t>
  </si>
  <si>
    <t>Lørdag</t>
  </si>
  <si>
    <t>&gt; 16</t>
  </si>
  <si>
    <t>Cervixinsufficiens</t>
  </si>
  <si>
    <t>Gastrisk sleeve</t>
  </si>
  <si>
    <t>Migræne</t>
  </si>
  <si>
    <t>Sygdom i nervesystemet</t>
  </si>
  <si>
    <t>Ryger over 20 cigaretter dagligt</t>
  </si>
  <si>
    <t>Søndag</t>
  </si>
  <si>
    <t>Anden højrisikograviditet</t>
  </si>
  <si>
    <t>Blindtarmsbetændelse</t>
  </si>
  <si>
    <t>Anden operation i maveregionen eller underlivet</t>
  </si>
  <si>
    <t>Epilepsi</t>
  </si>
  <si>
    <t>Ryger, mængde ikke oplyst</t>
  </si>
  <si>
    <t>Kvindelig omskæring</t>
  </si>
  <si>
    <t>Dissemineret sklerose</t>
  </si>
  <si>
    <t>Rygestatus uoplyst</t>
  </si>
  <si>
    <t>Fistel ved endetarmen</t>
  </si>
  <si>
    <t>Polysystisk ovariesyndrom (PCOS)</t>
  </si>
  <si>
    <t>Endokrin/metabolisk sygdom</t>
  </si>
  <si>
    <t>Rygoperation</t>
  </si>
  <si>
    <t>Type 1-diabetes</t>
  </si>
  <si>
    <t>Implantat</t>
  </si>
  <si>
    <t>Brystoperation</t>
  </si>
  <si>
    <t>Type 2-diabetes</t>
  </si>
  <si>
    <t>Brystreduktion</t>
  </si>
  <si>
    <t>Hyperthyroidisme</t>
  </si>
  <si>
    <t>Piercing i brystvorte</t>
  </si>
  <si>
    <t>Hypothyroidisme</t>
  </si>
  <si>
    <t>Nyresygdom</t>
  </si>
  <si>
    <t>Sygdom i urinveje/ kønsorganer</t>
  </si>
  <si>
    <t>Recidiverende urinvejsinfektion</t>
  </si>
  <si>
    <t>Endometriose</t>
  </si>
  <si>
    <t>Medfødt misdannelse i livmoder</t>
  </si>
  <si>
    <t>Resume-blokker</t>
  </si>
  <si>
    <t>UL-GA updater</t>
  </si>
  <si>
    <t>CDA counter</t>
  </si>
  <si>
    <t>Mb. Crohn</t>
  </si>
  <si>
    <t>Sygdom i fordøjelsesorganer</t>
  </si>
  <si>
    <t>Farver</t>
  </si>
  <si>
    <t>Beskrivelse</t>
  </si>
  <si>
    <t>Måling</t>
  </si>
  <si>
    <t>Flagger</t>
  </si>
  <si>
    <t>aftale dato</t>
  </si>
  <si>
    <t>Celle UL</t>
  </si>
  <si>
    <t>Celle aftale</t>
  </si>
  <si>
    <t>Celledato</t>
  </si>
  <si>
    <t>Vandrejournal!C5</t>
  </si>
  <si>
    <t>Colitis ulcerosa</t>
  </si>
  <si>
    <t>Må ikke udfyldes</t>
  </si>
  <si>
    <t>Målinger!C17</t>
  </si>
  <si>
    <t>Målinger!D5</t>
  </si>
  <si>
    <t>Vandrejournal!C105</t>
  </si>
  <si>
    <t>Leversygdom</t>
  </si>
  <si>
    <t>Målinger!C52</t>
  </si>
  <si>
    <t>Målinger!D40</t>
  </si>
  <si>
    <t>Vandrejournal!C205</t>
  </si>
  <si>
    <t>Systemisk lupus erythematosus (SLE)</t>
  </si>
  <si>
    <t>Sygdom i knogler/muskler/bindevæv</t>
  </si>
  <si>
    <t>Scanninger / SOR</t>
  </si>
  <si>
    <t>Målinger!C87</t>
  </si>
  <si>
    <t>Målinger!D75</t>
  </si>
  <si>
    <t>Vandrejournal!C305</t>
  </si>
  <si>
    <t>Systemisk sklerodermi</t>
  </si>
  <si>
    <t>0..* område</t>
  </si>
  <si>
    <t>Målinger!C122</t>
  </si>
  <si>
    <t>Målinger!D110</t>
  </si>
  <si>
    <t>Vandrejournal!C405</t>
  </si>
  <si>
    <t>Reumatoid artritis</t>
  </si>
  <si>
    <t>Felt der kan udfyldes</t>
  </si>
  <si>
    <t>Målinger!C157</t>
  </si>
  <si>
    <t>Målinger!D145</t>
  </si>
  <si>
    <t>Vandrejournal!C505</t>
  </si>
  <si>
    <t>Rygsygdom</t>
  </si>
  <si>
    <t>Målinger!C192</t>
  </si>
  <si>
    <t>Målinger!D180</t>
  </si>
  <si>
    <t>Herpes genitalis</t>
  </si>
  <si>
    <t>Infektiøs sygdom</t>
  </si>
  <si>
    <t>Skal udfyldes for at arkets logik virker ordenligt</t>
  </si>
  <si>
    <t>Målinger!C227</t>
  </si>
  <si>
    <t>Målinger!D215</t>
  </si>
  <si>
    <t>Gruppe B streptokokker (GBS)</t>
  </si>
  <si>
    <t>Obligatorisk ved 1. visitation hos egen læge</t>
  </si>
  <si>
    <t>Målinger!C262</t>
  </si>
  <si>
    <t>Målinger!D250</t>
  </si>
  <si>
    <t>Hepatitis</t>
  </si>
  <si>
    <t>Målinger!C297</t>
  </si>
  <si>
    <t>Målinger!D285</t>
  </si>
  <si>
    <t>Målinger!C332</t>
  </si>
  <si>
    <t>Målinger!D320</t>
  </si>
  <si>
    <t>Q-feber</t>
  </si>
  <si>
    <t>Målinger!C367</t>
  </si>
  <si>
    <t>Målinger!D355</t>
  </si>
  <si>
    <t>Trombofili</t>
  </si>
  <si>
    <t>Sygdom i blod/ bloddannende organer/immunsystemet</t>
  </si>
  <si>
    <t>5</t>
  </si>
  <si>
    <t>Målinger!C402</t>
  </si>
  <si>
    <t>Målinger!D390</t>
  </si>
  <si>
    <t>Koagulopati</t>
  </si>
  <si>
    <t>Målinger!C437</t>
  </si>
  <si>
    <t>Målinger!D425</t>
  </si>
  <si>
    <t>Blodtype immunisering</t>
  </si>
  <si>
    <t>Målinger!C472</t>
  </si>
  <si>
    <t>Målinger!D460</t>
  </si>
  <si>
    <t>Nuværende eller tidligere kræft</t>
  </si>
  <si>
    <t>Kræft</t>
  </si>
  <si>
    <t>Målinger!C507</t>
  </si>
  <si>
    <t>Målinger!D495</t>
  </si>
  <si>
    <t>Målinger!C530</t>
  </si>
  <si>
    <t>Fostervægtafvigelse</t>
  </si>
  <si>
    <t>Målinger!C542</t>
  </si>
  <si>
    <t>Målinger!D530</t>
  </si>
  <si>
    <t>Målinger!C565</t>
  </si>
  <si>
    <t>Refdato UL</t>
  </si>
  <si>
    <t>Refdato ULAftale</t>
  </si>
  <si>
    <t>UL sidste mens</t>
  </si>
  <si>
    <t>Forskel UL Naegel</t>
  </si>
  <si>
    <t>SNOMED</t>
  </si>
  <si>
    <t>Svangre</t>
  </si>
  <si>
    <t>Opslag  / udfald</t>
  </si>
  <si>
    <t>Kategori</t>
  </si>
  <si>
    <t>Kode</t>
  </si>
  <si>
    <t>https://browser.ihtsdotools.org/?perspective=full&amp;conceptId1=608051000005103&amp;edition=MAIN/SNOMEDCT-DK/2025-03-31&amp;release=&amp;languages=da,en</t>
  </si>
  <si>
    <t>3713e259-6ce8-42ca-a27b-d78b8fe37c1d</t>
  </si>
  <si>
    <t>314138001</t>
  </si>
  <si>
    <t>2903021000005101</t>
  </si>
  <si>
    <t>363905002</t>
  </si>
  <si>
    <t>314137006</t>
  </si>
  <si>
    <t>609328004</t>
  </si>
  <si>
    <t>568171000005100</t>
  </si>
  <si>
    <t>skøn1</t>
  </si>
  <si>
    <t>be746e34-4dc7-4dd8-b43e-751dc2f0331d</t>
  </si>
  <si>
    <t>1209182005</t>
  </si>
  <si>
    <t>598021000005104</t>
  </si>
  <si>
    <t>427013000</t>
  </si>
  <si>
    <t>skøn2</t>
  </si>
  <si>
    <t>91ece051-3e3d-4ab2-b9dd-b43ee3f78dfa</t>
  </si>
  <si>
    <t>6096002</t>
  </si>
  <si>
    <t>648031000005103</t>
  </si>
  <si>
    <t>228326007</t>
  </si>
  <si>
    <t>ul1</t>
  </si>
  <si>
    <t>667aec55-8afd-48b0-a233-8d8785463e91</t>
  </si>
  <si>
    <t>73161006</t>
  </si>
  <si>
    <t>184104002</t>
  </si>
  <si>
    <t>228958009</t>
  </si>
  <si>
    <t>ul2</t>
  </si>
  <si>
    <t>ca8a40f4-4117-4a60-a865-10a2258753bd</t>
  </si>
  <si>
    <t>63750008</t>
  </si>
  <si>
    <t>229791003</t>
  </si>
  <si>
    <t>e12b20e0-7bd7-4acb-9ed6-e2ad02f4a3d9</t>
  </si>
  <si>
    <t>276369006</t>
  </si>
  <si>
    <t>1252646008</t>
  </si>
  <si>
    <t>568251000005102</t>
  </si>
  <si>
    <t>2f889b96-d1cd-4370-8462-3337fc4578a1</t>
  </si>
  <si>
    <t>289433006</t>
  </si>
  <si>
    <t>398005008</t>
  </si>
  <si>
    <t>1187057000</t>
  </si>
  <si>
    <t>289431008</t>
  </si>
  <si>
    <t>398201009</t>
  </si>
  <si>
    <t>598111000005109</t>
  </si>
  <si>
    <t>f6de3815-2972-4aff-9ecc-16694f1942aa</t>
  </si>
  <si>
    <t>289446001</t>
  </si>
  <si>
    <t>397898000</t>
  </si>
  <si>
    <t>722495000</t>
  </si>
  <si>
    <t>9251e6ce-1974-48a9-9c54-f780b30f9084</t>
  </si>
  <si>
    <t>249045009</t>
  </si>
  <si>
    <t>306152009</t>
  </si>
  <si>
    <t> </t>
  </si>
  <si>
    <t>0d8f4c3d-494d-4cf2-8de1-df2ac7062bb3</t>
  </si>
  <si>
    <t>723509005</t>
  </si>
  <si>
    <t>1567e011-6cf1-4439-b784-4076bd2acb71</t>
  </si>
  <si>
    <t>723505004</t>
  </si>
  <si>
    <t>224117009</t>
  </si>
  <si>
    <t>d4890b45-d512-4fbb-8e90-4d8ac72373d</t>
  </si>
  <si>
    <t>278092006</t>
  </si>
  <si>
    <t>617951000005104</t>
  </si>
  <si>
    <t>f5e51c75-7f7c-4154-b66b-dc0badd67564</t>
  </si>
  <si>
    <t>1228877003</t>
  </si>
  <si>
    <t>Komplikationer I barselsperioden</t>
  </si>
  <si>
    <t>249222005</t>
  </si>
  <si>
    <t>289293006</t>
  </si>
  <si>
    <t>598121000005103</t>
  </si>
  <si>
    <t>258950000</t>
  </si>
  <si>
    <t>364587008</t>
  </si>
  <si>
    <t>81911001</t>
  </si>
  <si>
    <t>364589006</t>
  </si>
  <si>
    <t>263495000</t>
  </si>
  <si>
    <t>598101000005106</t>
  </si>
  <si>
    <t>129019007</t>
  </si>
  <si>
    <t>722498003</t>
  </si>
  <si>
    <t>258860005</t>
  </si>
  <si>
    <t>429684009</t>
  </si>
  <si>
    <t>Andet nikotinprodukt/røgfri tobak</t>
  </si>
  <si>
    <t>416471007</t>
  </si>
  <si>
    <t>648001000005109</t>
  </si>
  <si>
    <t>364703007</t>
  </si>
  <si>
    <t>429962007</t>
  </si>
  <si>
    <t>617971000005107</t>
  </si>
  <si>
    <t>224362002</t>
  </si>
  <si>
    <t>597941000005106</t>
  </si>
  <si>
    <t>169812000</t>
  </si>
  <si>
    <t>617991000005108</t>
  </si>
  <si>
    <t>2903011000005107</t>
  </si>
  <si>
    <t>55767001</t>
  </si>
  <si>
    <t>598141000005108</t>
  </si>
  <si>
    <t>773261007</t>
  </si>
  <si>
    <t>63487001</t>
  </si>
  <si>
    <t>Jordemodercenter</t>
  </si>
  <si>
    <t>klinik</t>
  </si>
  <si>
    <t>169589005</t>
  </si>
  <si>
    <t>129430004</t>
  </si>
  <si>
    <t>386235000</t>
  </si>
  <si>
    <t>Fraværsmelding/sygemelding</t>
  </si>
  <si>
    <t>648071000005100</t>
  </si>
  <si>
    <t>307144000</t>
  </si>
  <si>
    <t>224399002</t>
  </si>
  <si>
    <t>Kost</t>
  </si>
  <si>
    <t>364393001</t>
  </si>
  <si>
    <t>224459001</t>
  </si>
  <si>
    <t>248326004</t>
  </si>
  <si>
    <t>Motion</t>
  </si>
  <si>
    <t>256235009</t>
  </si>
  <si>
    <t>248333004</t>
  </si>
  <si>
    <t>1162389000</t>
  </si>
  <si>
    <t>Nikotin</t>
  </si>
  <si>
    <t>647981000005104</t>
  </si>
  <si>
    <t>60621009</t>
  </si>
  <si>
    <t>598091000005102</t>
  </si>
  <si>
    <t>Fødselsforløbstræk</t>
  </si>
  <si>
    <t>364328002</t>
  </si>
  <si>
    <t>598221000005106</t>
  </si>
  <si>
    <t>598261000005102</t>
  </si>
  <si>
    <t>1300212001</t>
  </si>
  <si>
    <t>648091000005104</t>
  </si>
  <si>
    <t>373067005</t>
  </si>
  <si>
    <t>648041000005106</t>
  </si>
  <si>
    <t>364320009</t>
  </si>
  <si>
    <t>608031000005108</t>
  </si>
  <si>
    <t>Fosterets biologiske familie, der er anlægsbærer af hæmoglobinopati</t>
  </si>
  <si>
    <t>64501000119109</t>
  </si>
  <si>
    <t>608041000005100</t>
  </si>
  <si>
    <t>647991000005101</t>
  </si>
  <si>
    <t>Partner har udfordringer med metalt helbred</t>
  </si>
  <si>
    <t>608011000005104</t>
  </si>
  <si>
    <t>Status for hæmoglobinopatiscreening</t>
  </si>
  <si>
    <t>395059005</t>
  </si>
  <si>
    <t>608001000005102</t>
  </si>
  <si>
    <t>364713004</t>
  </si>
  <si>
    <t>Organisatorisk enhed</t>
  </si>
  <si>
    <t>364711002</t>
  </si>
  <si>
    <t>648011000005107</t>
  </si>
  <si>
    <t>Juridisk Medforælder</t>
  </si>
  <si>
    <t>9306000</t>
  </si>
  <si>
    <t>371534008</t>
  </si>
  <si>
    <t>567901000005107</t>
  </si>
  <si>
    <t>Resuméindslag</t>
  </si>
  <si>
    <t>703503000</t>
  </si>
  <si>
    <t>Stoftype </t>
  </si>
  <si>
    <t>373063009</t>
  </si>
  <si>
    <t>konsangvinitet</t>
  </si>
  <si>
    <t>842009</t>
  </si>
  <si>
    <t>363908000</t>
  </si>
  <si>
    <t>361055000</t>
  </si>
  <si>
    <t>278844005</t>
  </si>
  <si>
    <t>306133003</t>
  </si>
  <si>
    <t>306238000</t>
  </si>
  <si>
    <t>Operationsgruppe</t>
  </si>
  <si>
    <t>648101000005108</t>
  </si>
  <si>
    <t>Partner</t>
  </si>
  <si>
    <t>262043009</t>
  </si>
  <si>
    <t>16356006</t>
  </si>
  <si>
    <t>Partners navn</t>
  </si>
  <si>
    <t>Vurdering ud fra foreliggende resultater af anamnese, undersøgelser og psykosociale forhold</t>
  </si>
  <si>
    <t>243814003</t>
  </si>
  <si>
    <t>224083004</t>
  </si>
  <si>
    <t>568011000005108</t>
  </si>
  <si>
    <t>432678004</t>
  </si>
  <si>
    <t>Prænatal ultralyd</t>
  </si>
  <si>
    <t>304602002</t>
  </si>
  <si>
    <t>567961000005108</t>
  </si>
  <si>
    <t>710824005</t>
  </si>
  <si>
    <t>567981000005100</t>
  </si>
  <si>
    <t>554021000005101</t>
  </si>
  <si>
    <t>161464003</t>
  </si>
  <si>
    <t>443938003</t>
  </si>
  <si>
    <t>247571009</t>
  </si>
  <si>
    <t>161714006</t>
  </si>
  <si>
    <t>Psykisk sygdom af relevans for graviditeten</t>
  </si>
  <si>
    <t>74732009</t>
  </si>
  <si>
    <t>161713000</t>
  </si>
  <si>
    <t>313199003</t>
  </si>
  <si>
    <t>364310004</t>
  </si>
  <si>
    <t>Screeningstype</t>
  </si>
  <si>
    <t>243787009</t>
  </si>
  <si>
    <t>289206005</t>
  </si>
  <si>
    <t>Screeningsstatus</t>
  </si>
  <si>
    <t>243876005</t>
  </si>
  <si>
    <t>567941000005109</t>
  </si>
  <si>
    <t>302160007</t>
  </si>
  <si>
    <t>224085006</t>
  </si>
  <si>
    <t>648081000005102</t>
  </si>
  <si>
    <t>224130005</t>
  </si>
  <si>
    <t>Tobak</t>
  </si>
  <si>
    <t>229819007</t>
  </si>
  <si>
    <t>Social sårbarhed</t>
  </si>
  <si>
    <t>699089001</t>
  </si>
  <si>
    <t>315232003</t>
  </si>
  <si>
    <t>405200007</t>
  </si>
  <si>
    <t>228524006</t>
  </si>
  <si>
    <t>365448001</t>
  </si>
  <si>
    <t>228523000</t>
  </si>
  <si>
    <t>449345000</t>
  </si>
  <si>
    <t>Somatisk diagnose</t>
  </si>
  <si>
    <t>598171000005102</t>
  </si>
  <si>
    <t>160625004</t>
  </si>
  <si>
    <t>Somatiske gruppe</t>
  </si>
  <si>
    <t>312850006</t>
  </si>
  <si>
    <t>Uddannelsesniveau</t>
  </si>
  <si>
    <t>224285004</t>
  </si>
  <si>
    <t>105421008</t>
  </si>
  <si>
    <t>64572001</t>
  </si>
  <si>
    <t>228163007</t>
  </si>
  <si>
    <t>363915008</t>
  </si>
  <si>
    <t>648021000005101</t>
  </si>
  <si>
    <t>315594003</t>
  </si>
  <si>
    <t>Ønsket Jordemodercenter</t>
  </si>
  <si>
    <t>Bruger af andet nikotinprodukt under graviditet</t>
  </si>
  <si>
    <t>276205001</t>
  </si>
  <si>
    <t>598251000005104</t>
  </si>
  <si>
    <t>439736001</t>
  </si>
  <si>
    <t>598241000005101</t>
  </si>
  <si>
    <t>373066001</t>
  </si>
  <si>
    <t>713651007</t>
  </si>
  <si>
    <t>597931000005103</t>
  </si>
  <si>
    <t>277267003</t>
  </si>
  <si>
    <t>73438004</t>
  </si>
  <si>
    <t>444168002</t>
  </si>
  <si>
    <t>364319003</t>
  </si>
  <si>
    <t>224363007</t>
  </si>
  <si>
    <t>249197004</t>
  </si>
  <si>
    <t>105493001</t>
  </si>
  <si>
    <t>160906004</t>
  </si>
  <si>
    <t>Gestitationsalder</t>
  </si>
  <si>
    <t>598151000005105</t>
  </si>
  <si>
    <t>65853000</t>
  </si>
  <si>
    <t>598271000005107</t>
  </si>
  <si>
    <t>385658003</t>
  </si>
  <si>
    <t>410528005</t>
  </si>
  <si>
    <t>385660001</t>
  </si>
  <si>
    <t>597961000005105</t>
  </si>
  <si>
    <t>248983002</t>
  </si>
  <si>
    <t>1255637005</t>
  </si>
  <si>
    <t>Tidligere operation af relevans for graviditeten</t>
  </si>
  <si>
    <t>161615003</t>
  </si>
  <si>
    <t>1255638000</t>
  </si>
  <si>
    <t>577951000005100</t>
  </si>
  <si>
    <t>Tidligere relevante operationer [Grupper]</t>
  </si>
  <si>
    <t>577961000005103</t>
  </si>
  <si>
    <t>Årstal for operation(er)</t>
  </si>
  <si>
    <t>439272007</t>
  </si>
  <si>
    <t>577981000005106</t>
  </si>
  <si>
    <t>607951000005101</t>
  </si>
  <si>
    <t>607961000005104</t>
  </si>
  <si>
    <t>57797005</t>
  </si>
  <si>
    <t>Rygeforbrug under graviditet</t>
  </si>
  <si>
    <t>17369002</t>
  </si>
  <si>
    <t>598201000005103</t>
  </si>
  <si>
    <t>363681007</t>
  </si>
  <si>
    <t>598191000005101</t>
  </si>
  <si>
    <t>598181000005104</t>
  </si>
  <si>
    <t>80146002 </t>
  </si>
  <si>
    <t>56771006</t>
  </si>
  <si>
    <t>275018007</t>
  </si>
  <si>
    <t>77176002</t>
  </si>
  <si>
    <t>95041000119101</t>
  </si>
  <si>
    <t>266927001</t>
  </si>
  <si>
    <t>598081000005100</t>
  </si>
  <si>
    <t>3157002</t>
  </si>
  <si>
    <t>598071000005103</t>
  </si>
  <si>
    <t>28017001</t>
  </si>
  <si>
    <t>8392000</t>
  </si>
  <si>
    <t>2546009</t>
  </si>
  <si>
    <t>TypeRusmiddel/Lægemiddel</t>
  </si>
  <si>
    <t>266961004</t>
  </si>
  <si>
    <t>410942007</t>
  </si>
  <si>
    <t>45604009</t>
  </si>
  <si>
    <t>568061000005106</t>
  </si>
  <si>
    <t>398705004</t>
  </si>
  <si>
    <t>373265006</t>
  </si>
  <si>
    <t>568071000005101</t>
  </si>
  <si>
    <t>373333006</t>
  </si>
  <si>
    <t>Barns køn</t>
  </si>
  <si>
    <t>169838000</t>
  </si>
  <si>
    <t>440586004</t>
  </si>
  <si>
    <t>169839008</t>
  </si>
  <si>
    <t>224296007</t>
  </si>
  <si>
    <t>394743007</t>
  </si>
  <si>
    <t>224297003</t>
  </si>
  <si>
    <t>364105007</t>
  </si>
  <si>
    <t>598001000005107</t>
  </si>
  <si>
    <t>57325008</t>
  </si>
  <si>
    <t>224300008</t>
  </si>
  <si>
    <t>64779008</t>
  </si>
  <si>
    <t>598011000005105</t>
  </si>
  <si>
    <t>234467004</t>
  </si>
  <si>
    <t>VandpibeDagligt/Lejlighedsvist</t>
  </si>
  <si>
    <t>69620002</t>
  </si>
  <si>
    <t>105529008</t>
  </si>
  <si>
    <t>84638005</t>
  </si>
  <si>
    <t>1256010001</t>
  </si>
  <si>
    <t>648111000005106</t>
  </si>
  <si>
    <t>302343007</t>
  </si>
  <si>
    <t>648121000005100</t>
  </si>
  <si>
    <t>59214008</t>
  </si>
  <si>
    <t>Evt. ønsket ugedag</t>
  </si>
  <si>
    <t>598061000005108</t>
  </si>
  <si>
    <t>307145004</t>
  </si>
  <si>
    <t>Diagnosegruppe</t>
  </si>
  <si>
    <t>307147007</t>
  </si>
  <si>
    <t>364387009</t>
  </si>
  <si>
    <t>307148002</t>
  </si>
  <si>
    <t>307149005</t>
  </si>
  <si>
    <t>363346000</t>
  </si>
  <si>
    <t>307150005</t>
  </si>
  <si>
    <t>307151009</t>
  </si>
  <si>
    <t>364142000</t>
  </si>
  <si>
    <t>307146003</t>
  </si>
  <si>
    <t>364561008</t>
  </si>
  <si>
    <t>364066008</t>
  </si>
  <si>
    <t>363821008</t>
  </si>
  <si>
    <t>364178005</t>
  </si>
  <si>
    <t>364048003</t>
  </si>
  <si>
    <t>59136001</t>
  </si>
  <si>
    <t>40930008</t>
  </si>
  <si>
    <t>237055002</t>
  </si>
  <si>
    <t>46635009</t>
  </si>
  <si>
    <t>44054006</t>
  </si>
  <si>
    <t>657991000005104</t>
  </si>
  <si>
    <t>442338001</t>
  </si>
  <si>
    <t>87604009</t>
  </si>
  <si>
    <t>46249006</t>
  </si>
  <si>
    <t>66601000</t>
  </si>
  <si>
    <t xml:space="preserve">52637005 </t>
  </si>
  <si>
    <t>425866000</t>
  </si>
  <si>
    <t>64766004</t>
  </si>
  <si>
    <t>235856003</t>
  </si>
  <si>
    <t>397172008</t>
  </si>
  <si>
    <t>66839005</t>
  </si>
  <si>
    <t>72705000</t>
  </si>
  <si>
    <t>Fraværsmelding</t>
  </si>
  <si>
    <t>598041000005109</t>
  </si>
  <si>
    <t>598031000005101</t>
  </si>
  <si>
    <t>274130007</t>
  </si>
  <si>
    <t>199745000</t>
  </si>
  <si>
    <t>6825008</t>
  </si>
  <si>
    <t>177141003</t>
  </si>
  <si>
    <t>282020008</t>
  </si>
  <si>
    <t>35874009</t>
  </si>
  <si>
    <t>556001</t>
  </si>
  <si>
    <t>20572008</t>
  </si>
  <si>
    <t xml:space="preserve">263904004 </t>
  </si>
  <si>
    <t>567931000005101</t>
  </si>
  <si>
    <t>237364002</t>
  </si>
  <si>
    <t>281050002</t>
  </si>
  <si>
    <t>47200007</t>
  </si>
  <si>
    <t>276654001</t>
  </si>
  <si>
    <t>17382005</t>
  </si>
  <si>
    <t>199223000</t>
  </si>
  <si>
    <t>22033007</t>
  </si>
  <si>
    <t>607991000005105</t>
  </si>
  <si>
    <t>svær Præeklampsi</t>
  </si>
  <si>
    <t>46764007</t>
  </si>
  <si>
    <t>72892002</t>
  </si>
  <si>
    <t>426933007</t>
  </si>
  <si>
    <t>128241005</t>
  </si>
  <si>
    <t>33839006</t>
  </si>
  <si>
    <t>86406008</t>
  </si>
  <si>
    <t>186788009</t>
  </si>
  <si>
    <t>54535009</t>
  </si>
  <si>
    <t>69896004</t>
  </si>
  <si>
    <t>33308003</t>
  </si>
  <si>
    <t>55464009</t>
  </si>
  <si>
    <t>89155008</t>
  </si>
  <si>
    <t>439127006</t>
  </si>
  <si>
    <t>38341003</t>
  </si>
  <si>
    <t>274100004</t>
  </si>
  <si>
    <t>56265001</t>
  </si>
  <si>
    <t>Kræftsygdomme</t>
  </si>
  <si>
    <t>24700007</t>
  </si>
  <si>
    <t>84757009</t>
  </si>
  <si>
    <t>37796009</t>
  </si>
  <si>
    <t>306966000</t>
  </si>
  <si>
    <t>387710000</t>
  </si>
  <si>
    <t>31191000</t>
  </si>
  <si>
    <t>21371007</t>
  </si>
  <si>
    <t>392089008</t>
  </si>
  <si>
    <t>430715008</t>
  </si>
  <si>
    <t>112916000</t>
  </si>
  <si>
    <t>129152004</t>
  </si>
  <si>
    <t>648051000005108</t>
  </si>
  <si>
    <t>394921008</t>
  </si>
  <si>
    <t>127848009</t>
  </si>
  <si>
    <t>418715001</t>
  </si>
  <si>
    <t>418307001</t>
  </si>
  <si>
    <t>737348000</t>
  </si>
  <si>
    <t>129231000119103</t>
  </si>
  <si>
    <t>ResultatType</t>
  </si>
  <si>
    <t>afventer</t>
  </si>
  <si>
    <t>171111007</t>
  </si>
  <si>
    <t>fund</t>
  </si>
  <si>
    <t>101071000119104</t>
  </si>
  <si>
    <t>normalt</t>
  </si>
  <si>
    <t>171109003</t>
  </si>
  <si>
    <t>15240007</t>
  </si>
  <si>
    <t>410513005</t>
  </si>
  <si>
    <t>410521004</t>
  </si>
  <si>
    <t>397943006</t>
  </si>
  <si>
    <t>169703006</t>
  </si>
  <si>
    <t>390786002</t>
  </si>
  <si>
    <t>169698000</t>
  </si>
  <si>
    <t>712853001</t>
  </si>
  <si>
    <t>Somatiske diagnoser</t>
  </si>
  <si>
    <t>Genetisk sygdom</t>
  </si>
  <si>
    <t>608051000005103</t>
  </si>
  <si>
    <t>608061000005101</t>
  </si>
  <si>
    <t>617961000005102</t>
  </si>
  <si>
    <t>Type af operationer</t>
  </si>
  <si>
    <t>129103003</t>
  </si>
  <si>
    <t>88825008</t>
  </si>
  <si>
    <t>90708001</t>
  </si>
  <si>
    <t>197927001</t>
  </si>
  <si>
    <t>19829001</t>
  </si>
  <si>
    <t>370221004</t>
  </si>
  <si>
    <t xml:space="preserve">Foretrukken dansk term </t>
  </si>
  <si>
    <t>Accepteret dansk term</t>
  </si>
  <si>
    <t>accepteret engelsk term</t>
  </si>
  <si>
    <t>TITEL</t>
  </si>
  <si>
    <t>KODE</t>
  </si>
  <si>
    <t>639-1</t>
  </si>
  <si>
    <t>2903021000005100</t>
  </si>
  <si>
    <t>fosters allergistatus</t>
  </si>
  <si>
    <t>Fetal allergy status (observable entity)</t>
  </si>
  <si>
    <t>Afghanistan</t>
  </si>
  <si>
    <t>AF</t>
  </si>
  <si>
    <t>Afar</t>
  </si>
  <si>
    <t>aa</t>
  </si>
  <si>
    <t>allergisk disposition</t>
  </si>
  <si>
    <t>Allergic disposition (finding)</t>
  </si>
  <si>
    <t>Albanien</t>
  </si>
  <si>
    <t>AL</t>
  </si>
  <si>
    <t>Abkhasisk</t>
  </si>
  <si>
    <t>ab</t>
  </si>
  <si>
    <t>forårsagende agens</t>
  </si>
  <si>
    <t>Causative agent (attribute)</t>
  </si>
  <si>
    <t>Algeriet</t>
  </si>
  <si>
    <t>DZ</t>
  </si>
  <si>
    <t>Avestisk</t>
  </si>
  <si>
    <t>ae</t>
  </si>
  <si>
    <t>risikofaktor i arbejdsmiljø</t>
  </si>
  <si>
    <t>Work environment risk factor (observable entity)</t>
  </si>
  <si>
    <t>Amerikansk Samoa</t>
  </si>
  <si>
    <t>AS</t>
  </si>
  <si>
    <t>Afrikaans</t>
  </si>
  <si>
    <t>af</t>
  </si>
  <si>
    <t>arbejdstidsplan</t>
  </si>
  <si>
    <t>Schedule of working hours (observable entity)</t>
  </si>
  <si>
    <t>Amerikanske Jomfruøer</t>
  </si>
  <si>
    <t>VI</t>
  </si>
  <si>
    <t>Akan</t>
  </si>
  <si>
    <t>ak</t>
  </si>
  <si>
    <t>patientens beskæftigelse</t>
  </si>
  <si>
    <t>Patient occupation (observable entity)</t>
  </si>
  <si>
    <t>Andorra</t>
  </si>
  <si>
    <t>AD</t>
  </si>
  <si>
    <t>Amharisk</t>
  </si>
  <si>
    <t>am</t>
  </si>
  <si>
    <t>timer/uge</t>
  </si>
  <si>
    <t>hours/week (qualifier value)</t>
  </si>
  <si>
    <t>Angola</t>
  </si>
  <si>
    <t>AO</t>
  </si>
  <si>
    <t>Aragonisk</t>
  </si>
  <si>
    <t>an</t>
  </si>
  <si>
    <t>partners beskæftigelse</t>
  </si>
  <si>
    <t>Occupation of partner (observable entity)</t>
  </si>
  <si>
    <t>Anguilla</t>
  </si>
  <si>
    <t>AI</t>
  </si>
  <si>
    <t>Arabisk</t>
  </si>
  <si>
    <t>ar</t>
  </si>
  <si>
    <t>relevant information</t>
  </si>
  <si>
    <t>Pertinent information (qualifier value)</t>
  </si>
  <si>
    <t>Antarktis</t>
  </si>
  <si>
    <t>AQ</t>
  </si>
  <si>
    <t>Assamesisk</t>
  </si>
  <si>
    <t>as</t>
  </si>
  <si>
    <t>starttidspunkt</t>
  </si>
  <si>
    <t>Start time (qualifier value)</t>
  </si>
  <si>
    <t>Antigua og Barbuda</t>
  </si>
  <si>
    <t>AG</t>
  </si>
  <si>
    <t>Avarisk</t>
  </si>
  <si>
    <t>av</t>
  </si>
  <si>
    <t>sluttidspunkt</t>
  </si>
  <si>
    <t>Stop time (qualifier value)</t>
  </si>
  <si>
    <t>Argentina</t>
  </si>
  <si>
    <t>AR</t>
  </si>
  <si>
    <t>Aymara</t>
  </si>
  <si>
    <t>ay</t>
  </si>
  <si>
    <t>henvisning til arbejdsmedicinsk behandling</t>
  </si>
  <si>
    <t>Referral to occupational health service (procedure)</t>
  </si>
  <si>
    <t>Armenien</t>
  </si>
  <si>
    <t>AM</t>
  </si>
  <si>
    <t>Aserbajdsjansk</t>
  </si>
  <si>
    <t>az</t>
  </si>
  <si>
    <t>oplysninger om egne børn</t>
  </si>
  <si>
    <t>Details of own children (observable entity)</t>
  </si>
  <si>
    <t>Aruba</t>
  </si>
  <si>
    <t>AW</t>
  </si>
  <si>
    <t>Basjkirsk</t>
  </si>
  <si>
    <t>ba</t>
  </si>
  <si>
    <t>helbredstilstand hos barn</t>
  </si>
  <si>
    <t>Health status of child (observable entity)</t>
  </si>
  <si>
    <t>Aserbajdsjan</t>
  </si>
  <si>
    <t>AZ</t>
  </si>
  <si>
    <t>Hviderussisk</t>
  </si>
  <si>
    <t>be</t>
  </si>
  <si>
    <t>neonataltilstand</t>
  </si>
  <si>
    <t>Neonatal condition (observable entity)</t>
  </si>
  <si>
    <t>Australien</t>
  </si>
  <si>
    <t>AU</t>
  </si>
  <si>
    <t>Bulgarsk</t>
  </si>
  <si>
    <t>bg</t>
  </si>
  <si>
    <t>barnedød</t>
  </si>
  <si>
    <t>Child death (event)</t>
  </si>
  <si>
    <t>Bahamas</t>
  </si>
  <si>
    <t>BS</t>
  </si>
  <si>
    <t>Bihari</t>
  </si>
  <si>
    <t>bh</t>
  </si>
  <si>
    <t>fødselsudfald</t>
  </si>
  <si>
    <t>Birth outcome (observable entity)</t>
  </si>
  <si>
    <t>Bahrain</t>
  </si>
  <si>
    <t>BH</t>
  </si>
  <si>
    <t>Bislama</t>
  </si>
  <si>
    <t>bi</t>
  </si>
  <si>
    <t>fødselsvægt</t>
  </si>
  <si>
    <t>Birth weight (observable entity)</t>
  </si>
  <si>
    <t>Bangladesh</t>
  </si>
  <si>
    <t>BD</t>
  </si>
  <si>
    <t>Bambara</t>
  </si>
  <si>
    <t>bm</t>
  </si>
  <si>
    <t>køn</t>
  </si>
  <si>
    <t>Gender (observable entity)</t>
  </si>
  <si>
    <t>Barbados</t>
  </si>
  <si>
    <t>BB</t>
  </si>
  <si>
    <t>Bengali</t>
  </si>
  <si>
    <t>bn</t>
  </si>
  <si>
    <t>årsag til manglende vaccination</t>
  </si>
  <si>
    <t>Reason for nonvaccination (observable entity)</t>
  </si>
  <si>
    <t>Belarus</t>
  </si>
  <si>
    <t>BY</t>
  </si>
  <si>
    <t>Tibetansk</t>
  </si>
  <si>
    <t>bo</t>
  </si>
  <si>
    <t>Belgien</t>
  </si>
  <si>
    <t>BE</t>
  </si>
  <si>
    <t>Bretonsk</t>
  </si>
  <si>
    <t>br</t>
  </si>
  <si>
    <t>familieanamnese: klinisk fund</t>
  </si>
  <si>
    <t>Family history of clinical finding (situation)</t>
  </si>
  <si>
    <t>Belize</t>
  </si>
  <si>
    <t>BZ</t>
  </si>
  <si>
    <t>Bosnisk</t>
  </si>
  <si>
    <t>bs</t>
  </si>
  <si>
    <t>arvelig sygdom hos familiemedlem</t>
  </si>
  <si>
    <t>Hereditary disease of family member (observable entity)</t>
  </si>
  <si>
    <t>Benin</t>
  </si>
  <si>
    <t>BJ</t>
  </si>
  <si>
    <t>Katalansk</t>
  </si>
  <si>
    <t>ca</t>
  </si>
  <si>
    <t>familieanamnese med arvelig sygdom</t>
  </si>
  <si>
    <t>Family history of hereditary disease (situation)</t>
  </si>
  <si>
    <t>Bermuda</t>
  </si>
  <si>
    <t>BM</t>
  </si>
  <si>
    <t>Tjetjensk</t>
  </si>
  <si>
    <t>ce</t>
  </si>
  <si>
    <t>medfødt misdannelse hos familiemedlem</t>
  </si>
  <si>
    <t>Congenital malformation of family member (observable entity)</t>
  </si>
  <si>
    <t>Bhutan</t>
  </si>
  <si>
    <t>BT</t>
  </si>
  <si>
    <t>Chamorro</t>
  </si>
  <si>
    <t>ch</t>
  </si>
  <si>
    <t>familieanamnese: medfødt misdannelse</t>
  </si>
  <si>
    <t>Family history of congenital malformation (situation)</t>
  </si>
  <si>
    <t>Bolivia</t>
  </si>
  <si>
    <t>BO</t>
  </si>
  <si>
    <t>Korsikansk</t>
  </si>
  <si>
    <t>co</t>
  </si>
  <si>
    <t>udredningsundersøgelse indiceret</t>
  </si>
  <si>
    <t>Investigation indicated (situation)</t>
  </si>
  <si>
    <t>Bonaire, Skt. Eustatius og Saba</t>
  </si>
  <si>
    <t>BQ</t>
  </si>
  <si>
    <t>Cree</t>
  </si>
  <si>
    <t>cr</t>
  </si>
  <si>
    <t>fertilisering</t>
  </si>
  <si>
    <t>Fertilization, function (observable entity)</t>
  </si>
  <si>
    <t>Bosnien-Hercegovina</t>
  </si>
  <si>
    <t>BA</t>
  </si>
  <si>
    <t>Tjekkisk</t>
  </si>
  <si>
    <t>cs</t>
  </si>
  <si>
    <t>reproduktionsrelateret procedure</t>
  </si>
  <si>
    <t>Procedure related to reproduction (procedure)</t>
  </si>
  <si>
    <t>Botswana</t>
  </si>
  <si>
    <t>BW</t>
  </si>
  <si>
    <t>Kirkeslavisk</t>
  </si>
  <si>
    <t>cu</t>
  </si>
  <si>
    <t>assisteret fertilisering</t>
  </si>
  <si>
    <t>Assisted fertilization (procedure)</t>
  </si>
  <si>
    <t>Bouvetøen</t>
  </si>
  <si>
    <t>BV</t>
  </si>
  <si>
    <t>Tsjuvansk</t>
  </si>
  <si>
    <t>cv</t>
  </si>
  <si>
    <t>Brasilien</t>
  </si>
  <si>
    <t>BR</t>
  </si>
  <si>
    <t>Walisisk</t>
  </si>
  <si>
    <t>cy</t>
  </si>
  <si>
    <t>svangreomsorg: sygehistorie med infertilitet</t>
  </si>
  <si>
    <t>Antenatal care: history of infertility (situation)</t>
  </si>
  <si>
    <t>Britisk territorium i det Indiske Ocean</t>
  </si>
  <si>
    <t>IO</t>
  </si>
  <si>
    <t>Dansk</t>
  </si>
  <si>
    <t>da</t>
  </si>
  <si>
    <t>beskæftigelsesstatus</t>
  </si>
  <si>
    <t>Employment status (observable entity)</t>
  </si>
  <si>
    <t>Britiske Jomfruøer</t>
  </si>
  <si>
    <t>VG</t>
  </si>
  <si>
    <t>Tysk</t>
  </si>
  <si>
    <t>de</t>
  </si>
  <si>
    <t>Brunei</t>
  </si>
  <si>
    <t>BN</t>
  </si>
  <si>
    <t>Dhivehi</t>
  </si>
  <si>
    <t>dv</t>
  </si>
  <si>
    <t>fremmøde på arbejde</t>
  </si>
  <si>
    <t>Attendance at work (observable entity)</t>
  </si>
  <si>
    <t>Bulgarien</t>
  </si>
  <si>
    <t>BG</t>
  </si>
  <si>
    <t>Dzongkha</t>
  </si>
  <si>
    <t>dz</t>
  </si>
  <si>
    <t>sygemeldt fra arbejde</t>
  </si>
  <si>
    <t>On sick leave from work (finding)</t>
  </si>
  <si>
    <t>Burkina Faso</t>
  </si>
  <si>
    <t>BF</t>
  </si>
  <si>
    <t>Ewe</t>
  </si>
  <si>
    <t>ee</t>
  </si>
  <si>
    <t>kropsmål</t>
  </si>
  <si>
    <t>Body measure (observable entity)</t>
  </si>
  <si>
    <t>Burundi</t>
  </si>
  <si>
    <t>BI</t>
  </si>
  <si>
    <t>Græsk</t>
  </si>
  <si>
    <t>el</t>
  </si>
  <si>
    <t>højde i stående stilling</t>
  </si>
  <si>
    <t>Standing height (observable entity)</t>
  </si>
  <si>
    <t>Cambodja</t>
  </si>
  <si>
    <t>KH</t>
  </si>
  <si>
    <t>Engelsk</t>
  </si>
  <si>
    <t>en</t>
  </si>
  <si>
    <t>selvrapporteret legemsvægt før graviditet</t>
  </si>
  <si>
    <t>Self reported pre-pregnancy body weight (observable entity)</t>
  </si>
  <si>
    <t>Cameroun</t>
  </si>
  <si>
    <t>CM</t>
  </si>
  <si>
    <t>Esperanto</t>
  </si>
  <si>
    <t>eo</t>
  </si>
  <si>
    <t>body mass index</t>
  </si>
  <si>
    <t>Body mass index (observable entity)</t>
  </si>
  <si>
    <t>Canada</t>
  </si>
  <si>
    <t>CA</t>
  </si>
  <si>
    <t>Spansk</t>
  </si>
  <si>
    <t>es</t>
  </si>
  <si>
    <t>træk vedr. fødselsprocessen</t>
  </si>
  <si>
    <t>Labor observable (observable entity)</t>
  </si>
  <si>
    <t>Caymanøerne</t>
  </si>
  <si>
    <t>KY</t>
  </si>
  <si>
    <t>Estisk</t>
  </si>
  <si>
    <t>et</t>
  </si>
  <si>
    <t>allergistatus</t>
  </si>
  <si>
    <t>Allergy status (observable entity)</t>
  </si>
  <si>
    <t>Centralafrikanske Republik</t>
  </si>
  <si>
    <t>CF</t>
  </si>
  <si>
    <t>Baskisk</t>
  </si>
  <si>
    <t>eu</t>
  </si>
  <si>
    <t>træk vedr. graviditet</t>
  </si>
  <si>
    <t>Pregnancy observable (observable entity)</t>
  </si>
  <si>
    <t>Chile</t>
  </si>
  <si>
    <t>CL</t>
  </si>
  <si>
    <t>Persisk</t>
  </si>
  <si>
    <t>fa</t>
  </si>
  <si>
    <t>Cocosøerne</t>
  </si>
  <si>
    <t>CC</t>
  </si>
  <si>
    <t>Fulfulde</t>
  </si>
  <si>
    <t>ff</t>
  </si>
  <si>
    <t>familieanamnese: hæmoglobinopati</t>
  </si>
  <si>
    <t>Family history of hemoglobinopathy (situation)</t>
  </si>
  <si>
    <t>Colombia</t>
  </si>
  <si>
    <t>CO</t>
  </si>
  <si>
    <t>Finsk</t>
  </si>
  <si>
    <t>fi</t>
  </si>
  <si>
    <t>bærer af arveanlæg</t>
  </si>
  <si>
    <t>Carrier of hereditary trait (observable entity)</t>
  </si>
  <si>
    <t>Comorerne</t>
  </si>
  <si>
    <t>KM</t>
  </si>
  <si>
    <t>Fijisk</t>
  </si>
  <si>
    <t>fj</t>
  </si>
  <si>
    <t>screeningstest for hæmoglobinopati</t>
  </si>
  <si>
    <t>Screening test for hemoglobinopathy (procedure)</t>
  </si>
  <si>
    <t>Congo, Demokratiske Republik</t>
  </si>
  <si>
    <t>CD</t>
  </si>
  <si>
    <t>Færøsk</t>
  </si>
  <si>
    <t>fo</t>
  </si>
  <si>
    <t>træk vedr. tidsforhold</t>
  </si>
  <si>
    <t>Temporal observable (observable entity)</t>
  </si>
  <si>
    <t>Congo, Republikken</t>
  </si>
  <si>
    <t>CG</t>
  </si>
  <si>
    <t>Fransk</t>
  </si>
  <si>
    <t>fr</t>
  </si>
  <si>
    <t>træk ved specifik test</t>
  </si>
  <si>
    <t>Specific test feature (observable entity)</t>
  </si>
  <si>
    <t>Cookøerne</t>
  </si>
  <si>
    <t>CK</t>
  </si>
  <si>
    <t>Frisisk</t>
  </si>
  <si>
    <t>fy</t>
  </si>
  <si>
    <t>forælder i juridisk forstand</t>
  </si>
  <si>
    <t>Legal parent (person)</t>
  </si>
  <si>
    <t>Costa Rica</t>
  </si>
  <si>
    <t>CR</t>
  </si>
  <si>
    <t>Irsk</t>
  </si>
  <si>
    <t>ga</t>
  </si>
  <si>
    <t>personnummer</t>
  </si>
  <si>
    <t>Civil registration number (observable entity)</t>
  </si>
  <si>
    <t>Cuba</t>
  </si>
  <si>
    <t>CU</t>
  </si>
  <si>
    <t>Skotsk gælisk</t>
  </si>
  <si>
    <t>gd</t>
  </si>
  <si>
    <t>navn</t>
  </si>
  <si>
    <t>Name (observable entity)</t>
  </si>
  <si>
    <t>Curacao</t>
  </si>
  <si>
    <t>CW</t>
  </si>
  <si>
    <t>Galicisk</t>
  </si>
  <si>
    <t>gl</t>
  </si>
  <si>
    <t>Consanguinity (finding)</t>
  </si>
  <si>
    <t>Cypern</t>
  </si>
  <si>
    <t>CY</t>
  </si>
  <si>
    <t>Guaraní</t>
  </si>
  <si>
    <t>gn</t>
  </si>
  <si>
    <t>medicintagning</t>
  </si>
  <si>
    <t>Taking medication (observable entity)</t>
  </si>
  <si>
    <t>Danmark</t>
  </si>
  <si>
    <t>DK</t>
  </si>
  <si>
    <t>Gujarati</t>
  </si>
  <si>
    <t>gu</t>
  </si>
  <si>
    <t>Djibouti</t>
  </si>
  <si>
    <t>DJ</t>
  </si>
  <si>
    <t>Mansk</t>
  </si>
  <si>
    <t>gv</t>
  </si>
  <si>
    <t>partner i forhold</t>
  </si>
  <si>
    <t>Partner in relationship (person)</t>
  </si>
  <si>
    <t>Dominica</t>
  </si>
  <si>
    <t>DM</t>
  </si>
  <si>
    <t>Hausa</t>
  </si>
  <si>
    <t>ha</t>
  </si>
  <si>
    <t>Dominikanske Republik</t>
  </si>
  <si>
    <t>DO</t>
  </si>
  <si>
    <t>Hebraisk</t>
  </si>
  <si>
    <t>he</t>
  </si>
  <si>
    <t>ægteskabelig status eller partnerstatus</t>
  </si>
  <si>
    <t>Marital or partnership status (observable entity)</t>
  </si>
  <si>
    <t>Ecuador</t>
  </si>
  <si>
    <t>EC</t>
  </si>
  <si>
    <t>Hindi</t>
  </si>
  <si>
    <t>hi</t>
  </si>
  <si>
    <t>prænatal risikovurdering ønskes</t>
  </si>
  <si>
    <t>Antenatal risk assessment wanted</t>
  </si>
  <si>
    <t>Egypten</t>
  </si>
  <si>
    <t>EG</t>
  </si>
  <si>
    <t>Hiri motu</t>
  </si>
  <si>
    <t>ho</t>
  </si>
  <si>
    <t>fund ved prænatal ultralyd</t>
  </si>
  <si>
    <t>Antenatal ultrasound finding (observable entity)</t>
  </si>
  <si>
    <t>El Salvador</t>
  </si>
  <si>
    <t>SV</t>
  </si>
  <si>
    <t>Kroatisk</t>
  </si>
  <si>
    <t>hr</t>
  </si>
  <si>
    <t>prænatal ultralydsundersøgelse i 1. trimester ønskes</t>
  </si>
  <si>
    <t>Antenatal ultrasound scan in first trimester wanted (finding)</t>
  </si>
  <si>
    <t>Elfenbenskysten</t>
  </si>
  <si>
    <t>CI</t>
  </si>
  <si>
    <t>Haitisk kreolsk</t>
  </si>
  <si>
    <t>ht</t>
  </si>
  <si>
    <t>prænatal ultralydsundersøgelse i 2. trimester ønskes</t>
  </si>
  <si>
    <t>Antenatal ultrasound scan in second trimester wanted (finding)</t>
  </si>
  <si>
    <t>Eritrea</t>
  </si>
  <si>
    <t>ER</t>
  </si>
  <si>
    <t>Ungarsk</t>
  </si>
  <si>
    <t>hu</t>
  </si>
  <si>
    <t>sygehistorie: psykisk lidelse</t>
  </si>
  <si>
    <t>History of psychiatric disorder (situation)</t>
  </si>
  <si>
    <t>Estland</t>
  </si>
  <si>
    <t>EE</t>
  </si>
  <si>
    <t>Armensk</t>
  </si>
  <si>
    <t>hy</t>
  </si>
  <si>
    <t>procedure udført på patient</t>
  </si>
  <si>
    <t>Procedure carried out on subject (situation)</t>
  </si>
  <si>
    <t>Eswatini</t>
  </si>
  <si>
    <t>SZ</t>
  </si>
  <si>
    <t>Herero</t>
  </si>
  <si>
    <t>hz</t>
  </si>
  <si>
    <t>generel mental tilstand</t>
  </si>
  <si>
    <t>General mental state (observable entity)</t>
  </si>
  <si>
    <t>Etiopien</t>
  </si>
  <si>
    <t>ET</t>
  </si>
  <si>
    <t>Interlingua (International Auxiliary Language Association)</t>
  </si>
  <si>
    <t>ia</t>
  </si>
  <si>
    <t>psykisk lidelse</t>
  </si>
  <si>
    <t>Mental disorder (disorder)</t>
  </si>
  <si>
    <t>Falklandsøerne</t>
  </si>
  <si>
    <t>FK</t>
  </si>
  <si>
    <t>Indonesisk</t>
  </si>
  <si>
    <t>id</t>
  </si>
  <si>
    <t>fund ved prænatal screening</t>
  </si>
  <si>
    <t>Antenatal screening finding (observable entity)</t>
  </si>
  <si>
    <t>Fiji</t>
  </si>
  <si>
    <t>FJ</t>
  </si>
  <si>
    <t>Interlingue</t>
  </si>
  <si>
    <t>ie</t>
  </si>
  <si>
    <t>prænatal screening</t>
  </si>
  <si>
    <t>Antenatal screening (procedure)</t>
  </si>
  <si>
    <t>Filippinerne</t>
  </si>
  <si>
    <t>PH</t>
  </si>
  <si>
    <t>Ibo</t>
  </si>
  <si>
    <t>ig</t>
  </si>
  <si>
    <t>screeningsstatus</t>
  </si>
  <si>
    <t>Screening status (finding)</t>
  </si>
  <si>
    <t>Finland</t>
  </si>
  <si>
    <t>FI</t>
  </si>
  <si>
    <t>Yi</t>
  </si>
  <si>
    <t>ii</t>
  </si>
  <si>
    <t>oplysning om husstand, familie og netværk</t>
  </si>
  <si>
    <t>Household, family and support network detail (observable entity)</t>
  </si>
  <si>
    <t>Forenede Arabiske Emirater</t>
  </si>
  <si>
    <t>AE</t>
  </si>
  <si>
    <t>Inupiak</t>
  </si>
  <si>
    <t>ik</t>
  </si>
  <si>
    <t>familiemæssige detaljer/husstandens sammensætning</t>
  </si>
  <si>
    <t>Family details / household composition (observable entity)</t>
  </si>
  <si>
    <t>Frankrig</t>
  </si>
  <si>
    <t>FR</t>
  </si>
  <si>
    <t>Ido</t>
  </si>
  <si>
    <t>io</t>
  </si>
  <si>
    <t>Husstandens sammensætning</t>
  </si>
  <si>
    <t>Household composition (observable entity)</t>
  </si>
  <si>
    <t>Fransk Guyana</t>
  </si>
  <si>
    <t>GF</t>
  </si>
  <si>
    <t>Islandsk</t>
  </si>
  <si>
    <t>is</t>
  </si>
  <si>
    <t>socialt velbefindende</t>
  </si>
  <si>
    <t>Social wellbeing (observable entity)</t>
  </si>
  <si>
    <t>Fransk Polynesien</t>
  </si>
  <si>
    <t>PF</t>
  </si>
  <si>
    <t>Italiensk</t>
  </si>
  <si>
    <t>it</t>
  </si>
  <si>
    <t>familiens sociale klima</t>
  </si>
  <si>
    <t>Family social climate (observable entity)</t>
  </si>
  <si>
    <t>Franske Sydlige og Antarktiske Territorier</t>
  </si>
  <si>
    <t>TF</t>
  </si>
  <si>
    <t>Inuittisk</t>
  </si>
  <si>
    <t>iu</t>
  </si>
  <si>
    <t>fund vedr. sociale og personlige forhold</t>
  </si>
  <si>
    <t>Social and personal history finding (finding)</t>
  </si>
  <si>
    <t>Færøerne</t>
  </si>
  <si>
    <t>FO</t>
  </si>
  <si>
    <t>Japansk</t>
  </si>
  <si>
    <t>sygehistorie: sygdom</t>
  </si>
  <si>
    <t>History of disorder (situation)</t>
  </si>
  <si>
    <t>Gabon</t>
  </si>
  <si>
    <t>Javanesisk</t>
  </si>
  <si>
    <t>jv</t>
  </si>
  <si>
    <t>363788007</t>
  </si>
  <si>
    <t>træk vedr. anamnese/klinisk undersøgelse</t>
  </si>
  <si>
    <t>Clinical history/examination observable (observable entity)</t>
  </si>
  <si>
    <t>Gambia</t>
  </si>
  <si>
    <t>GM</t>
  </si>
  <si>
    <t>Georgisk</t>
  </si>
  <si>
    <t>ka</t>
  </si>
  <si>
    <t>sygdom</t>
  </si>
  <si>
    <t>Disease (disorder)</t>
  </si>
  <si>
    <t>Georgien</t>
  </si>
  <si>
    <t>GE</t>
  </si>
  <si>
    <t>Congolesisk</t>
  </si>
  <si>
    <t>Relevant information</t>
  </si>
  <si>
    <t>Ghana</t>
  </si>
  <si>
    <t>GH</t>
  </si>
  <si>
    <t>Gikuyu</t>
  </si>
  <si>
    <t>ki</t>
  </si>
  <si>
    <t>Gibraltar</t>
  </si>
  <si>
    <t>GI</t>
  </si>
  <si>
    <t>Kwanyama</t>
  </si>
  <si>
    <t>kj</t>
  </si>
  <si>
    <t>træk vedr. tale og sprog</t>
  </si>
  <si>
    <t>Speech and language observable (observable entity)</t>
  </si>
  <si>
    <t>Grenada</t>
  </si>
  <si>
    <t>GD</t>
  </si>
  <si>
    <t>Kasakhisk</t>
  </si>
  <si>
    <t>kk</t>
  </si>
  <si>
    <t>tolk påkrævet</t>
  </si>
  <si>
    <t>Interpreter needed (finding)</t>
  </si>
  <si>
    <t>Grækenland</t>
  </si>
  <si>
    <t>GR</t>
  </si>
  <si>
    <t>Kalaallisut</t>
  </si>
  <si>
    <t>kl</t>
  </si>
  <si>
    <t>Grønland</t>
  </si>
  <si>
    <t>GL</t>
  </si>
  <si>
    <t>Khmer</t>
  </si>
  <si>
    <t>km</t>
  </si>
  <si>
    <t>oprindelsesland</t>
  </si>
  <si>
    <t>Country of origin (observable entity)</t>
  </si>
  <si>
    <t>Guadeloupe</t>
  </si>
  <si>
    <t>GP</t>
  </si>
  <si>
    <t>Kannada</t>
  </si>
  <si>
    <t>kn</t>
  </si>
  <si>
    <t>sprog som kræver tolk</t>
  </si>
  <si>
    <t>Language for which interpreter is needed (observable entity)</t>
  </si>
  <si>
    <t>Guam</t>
  </si>
  <si>
    <t>GU</t>
  </si>
  <si>
    <t>Koreansk</t>
  </si>
  <si>
    <t>ko</t>
  </si>
  <si>
    <t>anamnese med abort</t>
  </si>
  <si>
    <t>Past pregnancy history of pregnancy with abortive outcome (situation)</t>
  </si>
  <si>
    <t>Guatemala</t>
  </si>
  <si>
    <t>GT</t>
  </si>
  <si>
    <t>Kanuri</t>
  </si>
  <si>
    <t>kr</t>
  </si>
  <si>
    <t>træk vedr. spontan eller provokeret abort</t>
  </si>
  <si>
    <t>Abortive outcome observable (observable entity)</t>
  </si>
  <si>
    <t>Guernsey</t>
  </si>
  <si>
    <t>GG</t>
  </si>
  <si>
    <t>Kashmirisk</t>
  </si>
  <si>
    <t>ks</t>
  </si>
  <si>
    <t>kalenderår</t>
  </si>
  <si>
    <t>Calendar year (qualifier value)</t>
  </si>
  <si>
    <t>Guinea</t>
  </si>
  <si>
    <t>GN</t>
  </si>
  <si>
    <t>Kurdisk</t>
  </si>
  <si>
    <t>ku</t>
  </si>
  <si>
    <t>graviditetsuge</t>
  </si>
  <si>
    <t>Gestational week (observable entity)</t>
  </si>
  <si>
    <t>Guinea-Bissau</t>
  </si>
  <si>
    <t>GW</t>
  </si>
  <si>
    <t>Komi</t>
  </si>
  <si>
    <t>kv</t>
  </si>
  <si>
    <t>træk vedr. graviditet, fødsel og barsel</t>
  </si>
  <si>
    <t>Pregnancy, childbirth / puerperium observable (observable entity)</t>
  </si>
  <si>
    <t>Guyana</t>
  </si>
  <si>
    <t>GY</t>
  </si>
  <si>
    <t>Kornisk</t>
  </si>
  <si>
    <t>kw</t>
  </si>
  <si>
    <t>moderens tilstand i puerperiet</t>
  </si>
  <si>
    <t>Maternal condition during puerperium (observable entity)</t>
  </si>
  <si>
    <t>Haiti</t>
  </si>
  <si>
    <t>HT</t>
  </si>
  <si>
    <t>Kirgisisk</t>
  </si>
  <si>
    <t>ky</t>
  </si>
  <si>
    <t>Heard- og McDonaldøerne</t>
  </si>
  <si>
    <t>HM</t>
  </si>
  <si>
    <t>Latin</t>
  </si>
  <si>
    <t>la</t>
  </si>
  <si>
    <t>gestationsalder</t>
  </si>
  <si>
    <t>Gestional age (observable entity)</t>
  </si>
  <si>
    <t>Honduras</t>
  </si>
  <si>
    <t>HN</t>
  </si>
  <si>
    <t>Letzeburgsk</t>
  </si>
  <si>
    <t>lb</t>
  </si>
  <si>
    <t>fødested</t>
  </si>
  <si>
    <t>Place of birth (observable entity)</t>
  </si>
  <si>
    <t>Hongkong</t>
  </si>
  <si>
    <t>HK</t>
  </si>
  <si>
    <t>Luganda</t>
  </si>
  <si>
    <t>lg</t>
  </si>
  <si>
    <t>fødselsoplevelse</t>
  </si>
  <si>
    <t>Childbirth experience (observable entity)</t>
  </si>
  <si>
    <t>Indien</t>
  </si>
  <si>
    <t>IN</t>
  </si>
  <si>
    <t>Limburgisk</t>
  </si>
  <si>
    <t>li</t>
  </si>
  <si>
    <t>Indonesien</t>
  </si>
  <si>
    <t>ID</t>
  </si>
  <si>
    <t>Lingala</t>
  </si>
  <si>
    <t>ln</t>
  </si>
  <si>
    <t>normalt puerperium</t>
  </si>
  <si>
    <t>Normal puerperium (finding)</t>
  </si>
  <si>
    <t>Irak</t>
  </si>
  <si>
    <t>IQ</t>
  </si>
  <si>
    <t>Laotisk</t>
  </si>
  <si>
    <t>lo</t>
  </si>
  <si>
    <t>obstetrisk anamnese</t>
  </si>
  <si>
    <t>Obstetric history (observable entity)</t>
  </si>
  <si>
    <t>Iran</t>
  </si>
  <si>
    <t>IR</t>
  </si>
  <si>
    <t>Litauisk</t>
  </si>
  <si>
    <t>lt</t>
  </si>
  <si>
    <t>sygehistorie: operation</t>
  </si>
  <si>
    <t>History of surgery (situation)</t>
  </si>
  <si>
    <t>Irland</t>
  </si>
  <si>
    <t>IE</t>
  </si>
  <si>
    <t>Luba-Katanga</t>
  </si>
  <si>
    <t>lu</t>
  </si>
  <si>
    <t>Island</t>
  </si>
  <si>
    <t>IS</t>
  </si>
  <si>
    <t>Lettisk</t>
  </si>
  <si>
    <t>lv</t>
  </si>
  <si>
    <t>Isle of Man</t>
  </si>
  <si>
    <t>IM</t>
  </si>
  <si>
    <t>Gassisk</t>
  </si>
  <si>
    <t>mg</t>
  </si>
  <si>
    <t>proceduredato</t>
  </si>
  <si>
    <t>Date of procedure (observable entity)</t>
  </si>
  <si>
    <t>Israel</t>
  </si>
  <si>
    <t>IL</t>
  </si>
  <si>
    <t>Marshallesisk</t>
  </si>
  <si>
    <t>mh</t>
  </si>
  <si>
    <t>Italien</t>
  </si>
  <si>
    <t>IT</t>
  </si>
  <si>
    <t>Maoriski</t>
  </si>
  <si>
    <t>mi</t>
  </si>
  <si>
    <t>provokeret abort</t>
  </si>
  <si>
    <t>Induced termination of pregnancy (disorder)</t>
  </si>
  <si>
    <t>Jamaica</t>
  </si>
  <si>
    <t>JM</t>
  </si>
  <si>
    <t>Makedonsk</t>
  </si>
  <si>
    <t>mk</t>
  </si>
  <si>
    <t>spontan abort</t>
  </si>
  <si>
    <t>Miscarriage (disorder)</t>
  </si>
  <si>
    <t>Japan</t>
  </si>
  <si>
    <t>JP</t>
  </si>
  <si>
    <t>Malayalam</t>
  </si>
  <si>
    <t>ml</t>
  </si>
  <si>
    <t>graviditet der afsluttes med spontan eller provokeret abort</t>
  </si>
  <si>
    <t>Pregnancy with abortive outcome (disorder)</t>
  </si>
  <si>
    <t>Jersey</t>
  </si>
  <si>
    <t>JE</t>
  </si>
  <si>
    <t>Mongolsk</t>
  </si>
  <si>
    <t>mn</t>
  </si>
  <si>
    <t>appendektomi</t>
  </si>
  <si>
    <t>Excision of appendix (procedure)</t>
  </si>
  <si>
    <t>Jordan</t>
  </si>
  <si>
    <t>JO</t>
  </si>
  <si>
    <t>Moldovisk</t>
  </si>
  <si>
    <t>mo</t>
  </si>
  <si>
    <t>operation af analfistel</t>
  </si>
  <si>
    <t>Anal fistula operation (procedure)</t>
  </si>
  <si>
    <t>Juleøen</t>
  </si>
  <si>
    <t>CX</t>
  </si>
  <si>
    <t>Marathi</t>
  </si>
  <si>
    <t>mr</t>
  </si>
  <si>
    <t>kvindelig omskæring</t>
  </si>
  <si>
    <t>Female genital mutilation (disorder)</t>
  </si>
  <si>
    <t>Kap Verde</t>
  </si>
  <si>
    <t>CV</t>
  </si>
  <si>
    <t>Malajisk</t>
  </si>
  <si>
    <t>ms</t>
  </si>
  <si>
    <t>aften</t>
  </si>
  <si>
    <t>Evening (qualifier value)</t>
  </si>
  <si>
    <t>Kasakhstan</t>
  </si>
  <si>
    <t>KZ</t>
  </si>
  <si>
    <t>Maltesisk</t>
  </si>
  <si>
    <t>mt</t>
  </si>
  <si>
    <t>dagtimer</t>
  </si>
  <si>
    <t>Daytime (qualifier value)</t>
  </si>
  <si>
    <t>Kenya</t>
  </si>
  <si>
    <t>KE</t>
  </si>
  <si>
    <t>Burmesisk</t>
  </si>
  <si>
    <t>my</t>
  </si>
  <si>
    <t>nat</t>
  </si>
  <si>
    <t>Night time (qualifier value)</t>
  </si>
  <si>
    <t>Kina</t>
  </si>
  <si>
    <t>CN</t>
  </si>
  <si>
    <t>Naurisk</t>
  </si>
  <si>
    <t>na</t>
  </si>
  <si>
    <t>skifteholdsarbejder</t>
  </si>
  <si>
    <t>Shift worker (finding)</t>
  </si>
  <si>
    <t>Kirgisistan</t>
  </si>
  <si>
    <t>KG</t>
  </si>
  <si>
    <t>Norsk Bokmål</t>
  </si>
  <si>
    <t>nb</t>
  </si>
  <si>
    <t>begge forældre har allergi</t>
  </si>
  <si>
    <t>Both parents have allergy (situation)</t>
  </si>
  <si>
    <t>Kiribati</t>
  </si>
  <si>
    <t>KI</t>
  </si>
  <si>
    <t>Nord-ndebele</t>
  </si>
  <si>
    <t>nd</t>
  </si>
  <si>
    <t>en forælder eller søskende har allergi</t>
  </si>
  <si>
    <t>One parent or sibling has allergy (situation)</t>
  </si>
  <si>
    <t>Kroatien</t>
  </si>
  <si>
    <t>HR</t>
  </si>
  <si>
    <t>Nepali</t>
  </si>
  <si>
    <t>ne</t>
  </si>
  <si>
    <t>drengebarn</t>
  </si>
  <si>
    <t>Baby male (finding)</t>
  </si>
  <si>
    <t>Kuwait</t>
  </si>
  <si>
    <t>KW</t>
  </si>
  <si>
    <t>Ndonga</t>
  </si>
  <si>
    <t>ng</t>
  </si>
  <si>
    <t>pigebarn</t>
  </si>
  <si>
    <t>Baby female (finding)</t>
  </si>
  <si>
    <t>Laos</t>
  </si>
  <si>
    <t>LA</t>
  </si>
  <si>
    <t>Hollandsk</t>
  </si>
  <si>
    <t>nl</t>
  </si>
  <si>
    <t>køn ukendt</t>
  </si>
  <si>
    <t>Gender unknown (finding)</t>
  </si>
  <si>
    <t>Lesotho</t>
  </si>
  <si>
    <t>LS</t>
  </si>
  <si>
    <t>Nynorsk</t>
  </si>
  <si>
    <t>nn</t>
  </si>
  <si>
    <t>isoimmunisering</t>
  </si>
  <si>
    <t>Isoimmunization (finding)</t>
  </si>
  <si>
    <t>Letland</t>
  </si>
  <si>
    <t>LV</t>
  </si>
  <si>
    <t>Norsk</t>
  </si>
  <si>
    <t>no</t>
  </si>
  <si>
    <t>koagulationssygdom</t>
  </si>
  <si>
    <t>Blood coagulation disorder (disorder)</t>
  </si>
  <si>
    <t>Libanon</t>
  </si>
  <si>
    <t>LB</t>
  </si>
  <si>
    <t>Syd-ndebele</t>
  </si>
  <si>
    <t>nr</t>
  </si>
  <si>
    <t>trombofili</t>
  </si>
  <si>
    <t>Thrombophilia (disorder)</t>
  </si>
  <si>
    <t>Liberia</t>
  </si>
  <si>
    <t>LR</t>
  </si>
  <si>
    <t>Navajo</t>
  </si>
  <si>
    <t>nv</t>
  </si>
  <si>
    <t>bor alene</t>
  </si>
  <si>
    <t>Lives alone (finding)</t>
  </si>
  <si>
    <t>Libyen</t>
  </si>
  <si>
    <t>LY</t>
  </si>
  <si>
    <t>Chichewa</t>
  </si>
  <si>
    <t>ny</t>
  </si>
  <si>
    <t>bor sammen med andre i delt husholdning</t>
  </si>
  <si>
    <t>Lives with others in shared housing (finding)</t>
  </si>
  <si>
    <t>Liechtenstein</t>
  </si>
  <si>
    <t>LI</t>
  </si>
  <si>
    <t>Occitansk</t>
  </si>
  <si>
    <t>oc</t>
  </si>
  <si>
    <t>indsættelse af protese i bryst</t>
  </si>
  <si>
    <t>Insertion of prosthesis for breast (procedure)</t>
  </si>
  <si>
    <t>Litauen</t>
  </si>
  <si>
    <t>LT</t>
  </si>
  <si>
    <t>Ojibwa</t>
  </si>
  <si>
    <t>oj</t>
  </si>
  <si>
    <t>brystreduktion</t>
  </si>
  <si>
    <t>Reduction mammoplasty (procedure)</t>
  </si>
  <si>
    <t>Luxembourg</t>
  </si>
  <si>
    <t>LU</t>
  </si>
  <si>
    <t>Oromo</t>
  </si>
  <si>
    <t>om</t>
  </si>
  <si>
    <t>piercing af brystvorte</t>
  </si>
  <si>
    <t>Piercing of nipple (procedure)</t>
  </si>
  <si>
    <t>Macao</t>
  </si>
  <si>
    <t>MO</t>
  </si>
  <si>
    <t>Oriya</t>
  </si>
  <si>
    <t>or</t>
  </si>
  <si>
    <t>træk vedr. endokrine forhold</t>
  </si>
  <si>
    <t>Endocrine observable (observable entity)</t>
  </si>
  <si>
    <t>Madagaskar</t>
  </si>
  <si>
    <t>MG</t>
  </si>
  <si>
    <t>Ossetisk</t>
  </si>
  <si>
    <t>os</t>
  </si>
  <si>
    <t>træk vedr. blod, lymfekar og immunsystemet</t>
  </si>
  <si>
    <t>Blood, lymphatics/immune system observable (observable entity)</t>
  </si>
  <si>
    <t>Malawi</t>
  </si>
  <si>
    <t>MW</t>
  </si>
  <si>
    <t>Punjabi</t>
  </si>
  <si>
    <t>pa</t>
  </si>
  <si>
    <t>malign neoplastisk sygdom</t>
  </si>
  <si>
    <t>Malignant neoplastic disease (disorder)</t>
  </si>
  <si>
    <t>Malaysia</t>
  </si>
  <si>
    <t>MY</t>
  </si>
  <si>
    <t>Pali</t>
  </si>
  <si>
    <t>pi</t>
  </si>
  <si>
    <t>Maldiverne</t>
  </si>
  <si>
    <t>MV</t>
  </si>
  <si>
    <t>Polsk</t>
  </si>
  <si>
    <t>pl</t>
  </si>
  <si>
    <t>træk vedr. fordøjelsessystemet</t>
  </si>
  <si>
    <t>Digestive system observable (observable entity)</t>
  </si>
  <si>
    <t>Mali</t>
  </si>
  <si>
    <t>ML</t>
  </si>
  <si>
    <t>Pashto</t>
  </si>
  <si>
    <t>ps</t>
  </si>
  <si>
    <t>træk vedr. det muskuloskeletale system</t>
  </si>
  <si>
    <t>Musculoskeletal observable (observable entity)</t>
  </si>
  <si>
    <t>Malta</t>
  </si>
  <si>
    <t>MT</t>
  </si>
  <si>
    <t>Portugisisk</t>
  </si>
  <si>
    <t>pt</t>
  </si>
  <si>
    <t>træk vedr. kardiovaskulære forhold</t>
  </si>
  <si>
    <t>Cardiovascular observable (observable entity)</t>
  </si>
  <si>
    <t>Marokko</t>
  </si>
  <si>
    <t>MA</t>
  </si>
  <si>
    <t>Quechua</t>
  </si>
  <si>
    <t>qu</t>
  </si>
  <si>
    <t>træk vedr. centralnervesystemet</t>
  </si>
  <si>
    <t>Central nervous system observable (observable entity)</t>
  </si>
  <si>
    <t>Marshalløerne</t>
  </si>
  <si>
    <t>MH</t>
  </si>
  <si>
    <t>Rætoromansk</t>
  </si>
  <si>
    <t>rm</t>
  </si>
  <si>
    <t>træk vedr. det urogenitale system</t>
  </si>
  <si>
    <t>Urogenital observable (observable entity)</t>
  </si>
  <si>
    <t>Martinique</t>
  </si>
  <si>
    <t>MQ</t>
  </si>
  <si>
    <t>Kirundi</t>
  </si>
  <si>
    <t>rn</t>
  </si>
  <si>
    <t>træk vedr. respirationssystemet</t>
  </si>
  <si>
    <t>Respiratory observable (observable entity)</t>
  </si>
  <si>
    <t>Mauretanien</t>
  </si>
  <si>
    <t>MR</t>
  </si>
  <si>
    <t>Rumænsk</t>
  </si>
  <si>
    <t>ro</t>
  </si>
  <si>
    <t>maternel thyroideasygdom, der komplicerer graviditet, fødsel OG/ELLER puerperium</t>
  </si>
  <si>
    <t>Thyroid disease in mother complicating pregnancy, childbirth AND/OR puerperium (disorder)</t>
  </si>
  <si>
    <t>Mauritius</t>
  </si>
  <si>
    <t>MU</t>
  </si>
  <si>
    <t>Russisk</t>
  </si>
  <si>
    <t>ru</t>
  </si>
  <si>
    <t>hypotyroidisme</t>
  </si>
  <si>
    <t>Hypothyroidism (disorder)</t>
  </si>
  <si>
    <t>Mayotte</t>
  </si>
  <si>
    <t>YT</t>
  </si>
  <si>
    <t>Kinyarwanda</t>
  </si>
  <si>
    <t>rw</t>
  </si>
  <si>
    <t>polycystisk ovariesyndrom</t>
  </si>
  <si>
    <t>Polycystic ovary syndrome (disorder)</t>
  </si>
  <si>
    <t>Mexico</t>
  </si>
  <si>
    <t>MX</t>
  </si>
  <si>
    <t>Sanskrit</t>
  </si>
  <si>
    <t>sa</t>
  </si>
  <si>
    <t>type 1-diabetes mellitus</t>
  </si>
  <si>
    <t>Diabetes mellitus type 1 (disorder)</t>
  </si>
  <si>
    <t>Mikronesien</t>
  </si>
  <si>
    <t>FM</t>
  </si>
  <si>
    <t>Sardisk</t>
  </si>
  <si>
    <t>sc</t>
  </si>
  <si>
    <t>type 2-diabetes mellitus</t>
  </si>
  <si>
    <t>Diabetes mellitus type 2 (disorder)</t>
  </si>
  <si>
    <t>Moldova</t>
  </si>
  <si>
    <t>MD</t>
  </si>
  <si>
    <t>Sindhi</t>
  </si>
  <si>
    <t>sd</t>
  </si>
  <si>
    <t>operation for endometriose</t>
  </si>
  <si>
    <t>Surgical procedure for endometriosis (procedure)</t>
  </si>
  <si>
    <t>Monaco</t>
  </si>
  <si>
    <t>MC</t>
  </si>
  <si>
    <t>Nordsamisk</t>
  </si>
  <si>
    <t>se</t>
  </si>
  <si>
    <t>bypassoperation på mavesækken</t>
  </si>
  <si>
    <t>Bypass of stomach (procedure)</t>
  </si>
  <si>
    <t>Mongoliet</t>
  </si>
  <si>
    <t>MN</t>
  </si>
  <si>
    <t>Sango</t>
  </si>
  <si>
    <t>sg</t>
  </si>
  <si>
    <t>sleeve-resektion af mavesækken</t>
  </si>
  <si>
    <t>Sleeve resection of stomach (procedure)</t>
  </si>
  <si>
    <t>Montenegro</t>
  </si>
  <si>
    <t>ME</t>
  </si>
  <si>
    <t>Serbokroatisk</t>
  </si>
  <si>
    <t>sh</t>
  </si>
  <si>
    <t>kunstig insemination med donorsæd</t>
  </si>
  <si>
    <t>Artificial insemination by donor (procedure)</t>
  </si>
  <si>
    <t>Montserrat</t>
  </si>
  <si>
    <t>MS</t>
  </si>
  <si>
    <t>Singalesisk</t>
  </si>
  <si>
    <t>si</t>
  </si>
  <si>
    <t>kunstig insemination</t>
  </si>
  <si>
    <t>Artificial insemination (procedure)</t>
  </si>
  <si>
    <t>Mozambique</t>
  </si>
  <si>
    <t>MZ</t>
  </si>
  <si>
    <t>Slovakisk</t>
  </si>
  <si>
    <t>sk</t>
  </si>
  <si>
    <t>52637005</t>
  </si>
  <si>
    <t>in vitro-fertilisering</t>
  </si>
  <si>
    <t>Test tube ovum fertilization (procedure)</t>
  </si>
  <si>
    <t>Myanmar</t>
  </si>
  <si>
    <t>MM</t>
  </si>
  <si>
    <t>Slovensk</t>
  </si>
  <si>
    <t>sl</t>
  </si>
  <si>
    <t>in vitro-fertilisering med donoræg</t>
  </si>
  <si>
    <t>In vitro fertilization using donor eggs (procedure)</t>
  </si>
  <si>
    <t>Namibia</t>
  </si>
  <si>
    <t>NA</t>
  </si>
  <si>
    <t>Samoansk</t>
  </si>
  <si>
    <t>sm</t>
  </si>
  <si>
    <t>ulcerøs kolitis</t>
  </si>
  <si>
    <t>Ulcerative colitis (disorder)</t>
  </si>
  <si>
    <t>Nauru</t>
  </si>
  <si>
    <t>NR</t>
  </si>
  <si>
    <t>Shona</t>
  </si>
  <si>
    <t>sn</t>
  </si>
  <si>
    <t>leversygdom</t>
  </si>
  <si>
    <t>Disorder of liver (disorder)</t>
  </si>
  <si>
    <t>Nederlandene</t>
  </si>
  <si>
    <t>NL</t>
  </si>
  <si>
    <t>Somali</t>
  </si>
  <si>
    <t>so</t>
  </si>
  <si>
    <t>gastrointestinal Crohns sygdom</t>
  </si>
  <si>
    <t>Gastrointestinal Crohn's disease (disorder)</t>
  </si>
  <si>
    <t>Nepal</t>
  </si>
  <si>
    <t>NP</t>
  </si>
  <si>
    <t>Albansk</t>
  </si>
  <si>
    <t>sq</t>
  </si>
  <si>
    <t>far</t>
  </si>
  <si>
    <t>Father (person)</t>
  </si>
  <si>
    <t>New Zealand</t>
  </si>
  <si>
    <t>NZ</t>
  </si>
  <si>
    <t>Serbisk</t>
  </si>
  <si>
    <t>sr</t>
  </si>
  <si>
    <t>mor</t>
  </si>
  <si>
    <t>Mother (person)</t>
  </si>
  <si>
    <t>Nicaragua</t>
  </si>
  <si>
    <t>NI</t>
  </si>
  <si>
    <t>Swati</t>
  </si>
  <si>
    <t>ss</t>
  </si>
  <si>
    <t>delvist fraværsmeldt under graviditet</t>
  </si>
  <si>
    <t>Partial absence during pregnancy (finding)</t>
  </si>
  <si>
    <t>Niger</t>
  </si>
  <si>
    <t>NE</t>
  </si>
  <si>
    <t>Sesotho</t>
  </si>
  <si>
    <t>st</t>
  </si>
  <si>
    <t>fraværsmeldt under graviditet</t>
  </si>
  <si>
    <t>Absence during pregnancy (finding)</t>
  </si>
  <si>
    <t>Nigeria</t>
  </si>
  <si>
    <t>NG</t>
  </si>
  <si>
    <t>Sundanesisk</t>
  </si>
  <si>
    <t>su</t>
  </si>
  <si>
    <t>i arbejde</t>
  </si>
  <si>
    <t>Employed (finding)</t>
  </si>
  <si>
    <t>Niue</t>
  </si>
  <si>
    <t>NU</t>
  </si>
  <si>
    <t>Svensk</t>
  </si>
  <si>
    <t>sv</t>
  </si>
  <si>
    <t>akut kejsersnit</t>
  </si>
  <si>
    <t>Emergency cesarean section (procedure)</t>
  </si>
  <si>
    <t>Nordkorea</t>
  </si>
  <si>
    <t>KP</t>
  </si>
  <si>
    <t>Swahili</t>
  </si>
  <si>
    <t>sw</t>
  </si>
  <si>
    <t>komplikationer, der opstår under fødselsproces og forløsning</t>
  </si>
  <si>
    <t>Complication occurring during labor and delivery (disorder)</t>
  </si>
  <si>
    <t>Nordmakedonien</t>
  </si>
  <si>
    <t>MK</t>
  </si>
  <si>
    <t>Tamilsk</t>
  </si>
  <si>
    <t>ta</t>
  </si>
  <si>
    <t>laceration af perineum med involvering af rektovaginalt septum</t>
  </si>
  <si>
    <t>Perineal laceration involving rectovaginal septum (disorder)</t>
  </si>
  <si>
    <t>Nordmarianerne</t>
  </si>
  <si>
    <t>MP</t>
  </si>
  <si>
    <t>Telugu</t>
  </si>
  <si>
    <t>te</t>
  </si>
  <si>
    <t>elektivt kejsersnit</t>
  </si>
  <si>
    <t>Elective cesarean section (procedure)</t>
  </si>
  <si>
    <t>Norfolkøen</t>
  </si>
  <si>
    <t>NF</t>
  </si>
  <si>
    <t>Tadtjikkisk</t>
  </si>
  <si>
    <t>tg</t>
  </si>
  <si>
    <t>præterm forløsning</t>
  </si>
  <si>
    <t>Premature delivery (finding)</t>
  </si>
  <si>
    <t>Norge</t>
  </si>
  <si>
    <t>NO</t>
  </si>
  <si>
    <t>Thai</t>
  </si>
  <si>
    <t>th</t>
  </si>
  <si>
    <t>normal fødselsproces</t>
  </si>
  <si>
    <t>Normal labor (finding)</t>
  </si>
  <si>
    <t>Ny Kaledonien</t>
  </si>
  <si>
    <t>NC</t>
  </si>
  <si>
    <t>Tigrinya</t>
  </si>
  <si>
    <t>ti</t>
  </si>
  <si>
    <t>dårlig</t>
  </si>
  <si>
    <t>Bad (qualifier value)</t>
  </si>
  <si>
    <t>Oman</t>
  </si>
  <si>
    <t>OM</t>
  </si>
  <si>
    <t>Turkmensk</t>
  </si>
  <si>
    <t>tk</t>
  </si>
  <si>
    <t>god</t>
  </si>
  <si>
    <t>Good (qualifier value)</t>
  </si>
  <si>
    <t>Pakistan</t>
  </si>
  <si>
    <t>PK</t>
  </si>
  <si>
    <t>Tagalog</t>
  </si>
  <si>
    <t>tl</t>
  </si>
  <si>
    <t>263904004</t>
  </si>
  <si>
    <t>traumatisk</t>
  </si>
  <si>
    <t>Traumatic (qualifier value)</t>
  </si>
  <si>
    <t>Palau</t>
  </si>
  <si>
    <t>PW</t>
  </si>
  <si>
    <t>Tswana</t>
  </si>
  <si>
    <t>tn</t>
  </si>
  <si>
    <t>neutral</t>
  </si>
  <si>
    <t>Neutral (qualifier value)</t>
  </si>
  <si>
    <t>Palæstina</t>
  </si>
  <si>
    <t>PS</t>
  </si>
  <si>
    <t>Tonganesisk</t>
  </si>
  <si>
    <t>to</t>
  </si>
  <si>
    <t>dødfødsel</t>
  </si>
  <si>
    <t>Stillbirth (finding)</t>
  </si>
  <si>
    <t>Panama</t>
  </si>
  <si>
    <t>PA</t>
  </si>
  <si>
    <t>Tyrkisk</t>
  </si>
  <si>
    <t>tr</t>
  </si>
  <si>
    <t>levendefødsel</t>
  </si>
  <si>
    <t>Livebirth (finding)</t>
  </si>
  <si>
    <t>Papua Ny Guinea</t>
  </si>
  <si>
    <t>PG</t>
  </si>
  <si>
    <t>Tsonga</t>
  </si>
  <si>
    <t>ts</t>
  </si>
  <si>
    <t>højrisikograviditet</t>
  </si>
  <si>
    <t>High risk pregnancy (finding)</t>
  </si>
  <si>
    <t>Paraguay</t>
  </si>
  <si>
    <t>PY</t>
  </si>
  <si>
    <t>Tatarsk</t>
  </si>
  <si>
    <t>tt</t>
  </si>
  <si>
    <t>kongenit misdannelse</t>
  </si>
  <si>
    <t>Congenital malformation (disorder)</t>
  </si>
  <si>
    <t>Peru</t>
  </si>
  <si>
    <t>PE</t>
  </si>
  <si>
    <t>Twi</t>
  </si>
  <si>
    <t>tw</t>
  </si>
  <si>
    <t>cervixinsufficiens</t>
  </si>
  <si>
    <t>Cervical incompetence (disorder)</t>
  </si>
  <si>
    <t>Pitcairn</t>
  </si>
  <si>
    <t>PN</t>
  </si>
  <si>
    <t>Tahitisk</t>
  </si>
  <si>
    <t>ty</t>
  </si>
  <si>
    <t>diabetes mellitus under graviditet, fødsel og i puerperium</t>
  </si>
  <si>
    <t>Diabetes mellitus during pregnancy, childbirth and the puerperium (disorder)</t>
  </si>
  <si>
    <t>Polen</t>
  </si>
  <si>
    <t>PL</t>
  </si>
  <si>
    <t>Uighur</t>
  </si>
  <si>
    <t>ug</t>
  </si>
  <si>
    <t>intrauterin væksthæmning</t>
  </si>
  <si>
    <t>Fetal growth retardation (disorder)</t>
  </si>
  <si>
    <t>Portugal</t>
  </si>
  <si>
    <t>PT</t>
  </si>
  <si>
    <t>Ukrainsk</t>
  </si>
  <si>
    <t>uk</t>
  </si>
  <si>
    <t>peri- eller neonatalt dødsfald</t>
  </si>
  <si>
    <t>Perinatal or neonatal death (event)</t>
  </si>
  <si>
    <t>Puerto Rico</t>
  </si>
  <si>
    <t>PR</t>
  </si>
  <si>
    <t>Urdu</t>
  </si>
  <si>
    <t>ur</t>
  </si>
  <si>
    <t>svær præeklampsi</t>
  </si>
  <si>
    <t>Severe pre-eclampsia (disorder)</t>
  </si>
  <si>
    <t>Qatar</t>
  </si>
  <si>
    <t>QA</t>
  </si>
  <si>
    <t>Usbekisk</t>
  </si>
  <si>
    <t>uz</t>
  </si>
  <si>
    <t>normal graviditet</t>
  </si>
  <si>
    <t>Normal pregnancy (finding)</t>
  </si>
  <si>
    <t>Reunion</t>
  </si>
  <si>
    <t>RE</t>
  </si>
  <si>
    <t>Venda</t>
  </si>
  <si>
    <t>ve</t>
  </si>
  <si>
    <t>Streptococcus agalactiae-infektion</t>
  </si>
  <si>
    <t>Streptococcus agalactiae infection (disorder)</t>
  </si>
  <si>
    <t>Rumænien</t>
  </si>
  <si>
    <t>RO</t>
  </si>
  <si>
    <t>Vietnamesisk</t>
  </si>
  <si>
    <t>vi</t>
  </si>
  <si>
    <t>inflammatorisk sygdom i leveren</t>
  </si>
  <si>
    <t>Inflammatory disease of liver (disorder)</t>
  </si>
  <si>
    <t>Rusland</t>
  </si>
  <si>
    <t>RU</t>
  </si>
  <si>
    <t>Volapük</t>
  </si>
  <si>
    <t>vo</t>
  </si>
  <si>
    <t>genital herpes simplex</t>
  </si>
  <si>
    <t>Genital herpes simplex (disorder)</t>
  </si>
  <si>
    <t>Rwanda</t>
  </si>
  <si>
    <t>RW</t>
  </si>
  <si>
    <t>Vallonsk</t>
  </si>
  <si>
    <t>wa</t>
  </si>
  <si>
    <t>humant immundefektvirus-infektion</t>
  </si>
  <si>
    <t>Human immunodeficiency virus infection (disorder)</t>
  </si>
  <si>
    <t>Salomonøerne</t>
  </si>
  <si>
    <t>SB</t>
  </si>
  <si>
    <t>Wolof</t>
  </si>
  <si>
    <t>wo</t>
  </si>
  <si>
    <t>Q fever (disorder)</t>
  </si>
  <si>
    <t>Samoa</t>
  </si>
  <si>
    <t>WS</t>
  </si>
  <si>
    <t>Xhosa</t>
  </si>
  <si>
    <t>xh</t>
  </si>
  <si>
    <t>keglebiopsi af cervix</t>
  </si>
  <si>
    <t>Cone biopsy of cervix</t>
  </si>
  <si>
    <t>San Marino</t>
  </si>
  <si>
    <t>SM</t>
  </si>
  <si>
    <t>Jiddisch</t>
  </si>
  <si>
    <t>yi</t>
  </si>
  <si>
    <t>reumatoid artritis</t>
  </si>
  <si>
    <t>Rheumatoid arthritis (disorder)</t>
  </si>
  <si>
    <t>Sao Tome og Principe</t>
  </si>
  <si>
    <t>ST</t>
  </si>
  <si>
    <t>Yoruba</t>
  </si>
  <si>
    <t>yo</t>
  </si>
  <si>
    <t>rygsygdom</t>
  </si>
  <si>
    <t>Disorder of back (disorder)</t>
  </si>
  <si>
    <t>Saudi-Arabien</t>
  </si>
  <si>
    <t>SA</t>
  </si>
  <si>
    <t>Zhuang</t>
  </si>
  <si>
    <t>za</t>
  </si>
  <si>
    <t>systemisk lupus erythematosus</t>
  </si>
  <si>
    <t>Systemic lupus erythematosus (disorder)</t>
  </si>
  <si>
    <t>Schweiz</t>
  </si>
  <si>
    <t>CH</t>
  </si>
  <si>
    <t>Kinesisk</t>
  </si>
  <si>
    <t>zh</t>
  </si>
  <si>
    <t>systemisk sklerose</t>
  </si>
  <si>
    <t>Systemic sclerosis (disorder)</t>
  </si>
  <si>
    <t>Senegal</t>
  </si>
  <si>
    <t>SN</t>
  </si>
  <si>
    <t>Zulu</t>
  </si>
  <si>
    <t>zu</t>
  </si>
  <si>
    <t>trombose</t>
  </si>
  <si>
    <t>Thrombosis (disorder)</t>
  </si>
  <si>
    <t>Serbien</t>
  </si>
  <si>
    <t>RS</t>
  </si>
  <si>
    <t>hypertension</t>
  </si>
  <si>
    <t>Hypertensive disorder, systemic arterial (disorder)</t>
  </si>
  <si>
    <t>Seychellerne</t>
  </si>
  <si>
    <t>SC</t>
  </si>
  <si>
    <t>hjerneblødning</t>
  </si>
  <si>
    <t>Cerebral hemorrhage (disorder)</t>
  </si>
  <si>
    <t>Sierra Leone</t>
  </si>
  <si>
    <t>SL</t>
  </si>
  <si>
    <t>hjertesygdom</t>
  </si>
  <si>
    <t>Heart disease (disorder)</t>
  </si>
  <si>
    <t>Singapore</t>
  </si>
  <si>
    <t>SG</t>
  </si>
  <si>
    <t>Skt. Barthelemy</t>
  </si>
  <si>
    <t>BL</t>
  </si>
  <si>
    <t>dissemineret sklerose</t>
  </si>
  <si>
    <t>Multiple sclerosis (disorder)</t>
  </si>
  <si>
    <t>Skt. Helena</t>
  </si>
  <si>
    <t>SH</t>
  </si>
  <si>
    <t>epilepsi</t>
  </si>
  <si>
    <t>Epilepsy (disorder)</t>
  </si>
  <si>
    <t>Skt. Kitts og Nevis</t>
  </si>
  <si>
    <t>KN</t>
  </si>
  <si>
    <t>migræne</t>
  </si>
  <si>
    <t>Migraine (disorder)</t>
  </si>
  <si>
    <t>Skt. Lucia</t>
  </si>
  <si>
    <t>LC</t>
  </si>
  <si>
    <t>excision af myom i cervix uteri</t>
  </si>
  <si>
    <t>Excision of myoma of cervix uteri (procedure)</t>
  </si>
  <si>
    <t>Skt. Martin (NL)</t>
  </si>
  <si>
    <t>SX</t>
  </si>
  <si>
    <t>fjernelse af ekstrauterint ektopisk foster</t>
  </si>
  <si>
    <t>Removal of extrauterine ectopic fetus (procedure)</t>
  </si>
  <si>
    <t>Skt. Pierre og Miquelon</t>
  </si>
  <si>
    <t>PM</t>
  </si>
  <si>
    <t>excision af uterint septum</t>
  </si>
  <si>
    <t>Excision of septum of uterus (procedure)</t>
  </si>
  <si>
    <t>Skt. Vincent og Grenadinerne</t>
  </si>
  <si>
    <t>VC</t>
  </si>
  <si>
    <t>operation i abdominalregionen</t>
  </si>
  <si>
    <t>Operation on abdominal region (procedure)</t>
  </si>
  <si>
    <t>Slovakiet</t>
  </si>
  <si>
    <t>SK</t>
  </si>
  <si>
    <t>procedure på mamma</t>
  </si>
  <si>
    <t>Breast procedure (procedure)</t>
  </si>
  <si>
    <t>Slovenien</t>
  </si>
  <si>
    <t>SI</t>
  </si>
  <si>
    <t>excision af endometriose</t>
  </si>
  <si>
    <t>Excision of endometriosis (procedure)|</t>
  </si>
  <si>
    <t>Somalia</t>
  </si>
  <si>
    <t>SO</t>
  </si>
  <si>
    <t>operativt indgreb pga. fedme</t>
  </si>
  <si>
    <t>Bariatric operative procedure (procedure)</t>
  </si>
  <si>
    <t>Spanien</t>
  </si>
  <si>
    <t>ES</t>
  </si>
  <si>
    <t>Cone biopsy of cervix (procedure)</t>
  </si>
  <si>
    <t>Sri Lanka</t>
  </si>
  <si>
    <t>LK</t>
  </si>
  <si>
    <t>operation på cervix uteri</t>
  </si>
  <si>
    <t>Operation on cervix uteri (procedure)</t>
  </si>
  <si>
    <t>St. Martin (FR)</t>
  </si>
  <si>
    <t>MF</t>
  </si>
  <si>
    <t>procedure på ryggen</t>
  </si>
  <si>
    <t>Procedure on back (procedure)</t>
  </si>
  <si>
    <t>Storbritannien</t>
  </si>
  <si>
    <t>GB</t>
  </si>
  <si>
    <t>registreret partner</t>
  </si>
  <si>
    <t>Civil union partner (person)</t>
  </si>
  <si>
    <t>Sudan</t>
  </si>
  <si>
    <t>SD</t>
  </si>
  <si>
    <t>sambo</t>
  </si>
  <si>
    <t>Cohabitee (person)</t>
  </si>
  <si>
    <t>Surinam</t>
  </si>
  <si>
    <t>SR</t>
  </si>
  <si>
    <t>ægtefælle</t>
  </si>
  <si>
    <t>Spouse (person)</t>
  </si>
  <si>
    <t>Svalbard og Jan Mayen</t>
  </si>
  <si>
    <t>SJ</t>
  </si>
  <si>
    <t>eksponering for potentielt skadeligt emne</t>
  </si>
  <si>
    <t>Exposure to potentially harmful entity (event)</t>
  </si>
  <si>
    <t>Sverige</t>
  </si>
  <si>
    <t>SE</t>
  </si>
  <si>
    <t>eksponering for biologisk middel</t>
  </si>
  <si>
    <t>Exposure to biological agent (event)</t>
  </si>
  <si>
    <t>Sydafrika</t>
  </si>
  <si>
    <t>ZA</t>
  </si>
  <si>
    <t>erhvervsmæssig eksponering for ergonomisk risiko</t>
  </si>
  <si>
    <t>Occupational exposure to ergonomic risk (event)</t>
  </si>
  <si>
    <t>Sydgeorgien og Sydsandwichøerne</t>
  </si>
  <si>
    <t>GS</t>
  </si>
  <si>
    <t>eksponering for potentielt skadeligt kemikalie</t>
  </si>
  <si>
    <t>Exposure to potentially hazardous chemical (event)</t>
  </si>
  <si>
    <t>Sydkorea</t>
  </si>
  <si>
    <t>KR</t>
  </si>
  <si>
    <t>afventer resultat af screening</t>
  </si>
  <si>
    <t>Screened - no result yet (finding)</t>
  </si>
  <si>
    <t>Sydsudan</t>
  </si>
  <si>
    <t>SS</t>
  </si>
  <si>
    <t>abnormt fund ved neonatal screening</t>
  </si>
  <si>
    <t>Neonatal screening abnormal (finding)</t>
  </si>
  <si>
    <t>Syrien</t>
  </si>
  <si>
    <t>SY</t>
  </si>
  <si>
    <t>screening: i.a.</t>
  </si>
  <si>
    <t>Screening - no abnormality detected (finding)</t>
  </si>
  <si>
    <t>Tadsjikistan</t>
  </si>
  <si>
    <t>TJ</t>
  </si>
  <si>
    <t>Taiwan</t>
  </si>
  <si>
    <t>TW</t>
  </si>
  <si>
    <t>nuværende</t>
  </si>
  <si>
    <t>Current (qualifier value)</t>
  </si>
  <si>
    <t>Tanzania</t>
  </si>
  <si>
    <t>TZ</t>
  </si>
  <si>
    <t>tidligere</t>
  </si>
  <si>
    <t>In the past (qualifier value)</t>
  </si>
  <si>
    <t>Tchad</t>
  </si>
  <si>
    <t>TD</t>
  </si>
  <si>
    <t>skal ikke udføres</t>
  </si>
  <si>
    <t>Not to be done (qualifier value)</t>
  </si>
  <si>
    <t>Thailand</t>
  </si>
  <si>
    <t>TH</t>
  </si>
  <si>
    <t>planlagt</t>
  </si>
  <si>
    <t>Planned (qualifier value)</t>
  </si>
  <si>
    <t>Tjekkiet</t>
  </si>
  <si>
    <t>CZ</t>
  </si>
  <si>
    <t>prænatal blodtypescreening</t>
  </si>
  <si>
    <t>Antenatal blood group screening (procedure)</t>
  </si>
  <si>
    <t>Togo</t>
  </si>
  <si>
    <t>TG</t>
  </si>
  <si>
    <t>prænatal hiv-screening</t>
  </si>
  <si>
    <t>Antenatal screening for human immunodeficiency virus (procedure)</t>
  </si>
  <si>
    <t>Tokelau</t>
  </si>
  <si>
    <t>TK</t>
  </si>
  <si>
    <t>prænatal syfilisscreening</t>
  </si>
  <si>
    <t>Antenatal syphilis screening (procedure)</t>
  </si>
  <si>
    <t>Tonga</t>
  </si>
  <si>
    <t>TO</t>
  </si>
  <si>
    <t>prænatal screening for hepatitis B-virus</t>
  </si>
  <si>
    <t>Antenatal screening for viral hepatitis type B (procedure)</t>
  </si>
  <si>
    <t>Trinidad og Tobago</t>
  </si>
  <si>
    <t>TT</t>
  </si>
  <si>
    <t>familieanamnese med medfødt misdannelse eller arvelig sygdom som ikke har krævet behandling</t>
  </si>
  <si>
    <t>Family history of congenital malformation or hereditary disease - no treatment needed (situation)</t>
  </si>
  <si>
    <t>Tunesien</t>
  </si>
  <si>
    <t>TN</t>
  </si>
  <si>
    <t>familieanamnese med medfødt misdannelse eller arvelig sygdom som har krævet behandling</t>
  </si>
  <si>
    <t>Family history of congenital malformation or hereditary disease - treatment needed (situation)</t>
  </si>
  <si>
    <t>Turkmenistan</t>
  </si>
  <si>
    <t>TM</t>
  </si>
  <si>
    <t>"familieanamnese med afbrydelse af graviditet som følge af medfødt misdannelse eller arvelig sygdom"</t>
  </si>
  <si>
    <t>Family history of induced termination of pregnancy due to congenital malformation or hereditary disease (situation)</t>
  </si>
  <si>
    <t>Turks- og Caicosøerne</t>
  </si>
  <si>
    <t>TC</t>
  </si>
  <si>
    <t>nej</t>
  </si>
  <si>
    <t>No (qualifier value)</t>
  </si>
  <si>
    <t>Tuvalu</t>
  </si>
  <si>
    <t>endometriose</t>
  </si>
  <si>
    <t>Endometriosis (disorder)</t>
  </si>
  <si>
    <t>Tyrkiet</t>
  </si>
  <si>
    <t>TR</t>
  </si>
  <si>
    <t>kongenit cervixanomali</t>
  </si>
  <si>
    <t>Congenital anomaly of cervix (disorder)</t>
  </si>
  <si>
    <t>Tyskland</t>
  </si>
  <si>
    <t>DE</t>
  </si>
  <si>
    <t>nyresygdom</t>
  </si>
  <si>
    <t>Kidney disease (disorder)</t>
  </si>
  <si>
    <t>Uganda</t>
  </si>
  <si>
    <t>UG</t>
  </si>
  <si>
    <t>recidiverende urinvejsinfektion</t>
  </si>
  <si>
    <t>Recurrent urinary tract infection (disorder)</t>
  </si>
  <si>
    <t>Ukraine</t>
  </si>
  <si>
    <t>UA</t>
  </si>
  <si>
    <t>lungesygdom</t>
  </si>
  <si>
    <t>Disorder of lung (disorder)</t>
  </si>
  <si>
    <t>Ungarn</t>
  </si>
  <si>
    <t>HU</t>
  </si>
  <si>
    <t>svær astma</t>
  </si>
  <si>
    <t>Severe asthma (disorder)</t>
  </si>
  <si>
    <t>Uruguay</t>
  </si>
  <si>
    <t>UY</t>
  </si>
  <si>
    <t>detaljer vedr. adfærd ifm. indtag af alkohol</t>
  </si>
  <si>
    <t>Details of alcohol drinking behavior (observable entity)</t>
  </si>
  <si>
    <t>USA</t>
  </si>
  <si>
    <t>US</t>
  </si>
  <si>
    <t>bruger af alkohol før bekræftet graviditet</t>
  </si>
  <si>
    <t>Drinker of alcohol before confirmation of pregnancy (finding)</t>
  </si>
  <si>
    <t>USA's mindre øbesiddelser</t>
  </si>
  <si>
    <t>UM</t>
  </si>
  <si>
    <t>alkoholindtag under graviditet</t>
  </si>
  <si>
    <t>Alcohol consumption during pregnancy (finding)</t>
  </si>
  <si>
    <t>Usbekistan</t>
  </si>
  <si>
    <t>UZ</t>
  </si>
  <si>
    <t>binge-drinking</t>
  </si>
  <si>
    <t>Drinking binge (finding)</t>
  </si>
  <si>
    <t>Vanuatu</t>
  </si>
  <si>
    <t>VU</t>
  </si>
  <si>
    <t>alkoholgenstande/uge</t>
  </si>
  <si>
    <t>alcohol units/week (qualifier value)</t>
  </si>
  <si>
    <t>Vatikanstaten</t>
  </si>
  <si>
    <t>VA</t>
  </si>
  <si>
    <t>TWEAK-score</t>
  </si>
  <si>
    <t>Tolerance, Worry, Eye-opener, Amnesia, K/Cut down questionnaire score (observable entity)</t>
  </si>
  <si>
    <t>Venezuela</t>
  </si>
  <si>
    <t>VE</t>
  </si>
  <si>
    <t>Vestsahara</t>
  </si>
  <si>
    <t>EH</t>
  </si>
  <si>
    <t>Vietnam</t>
  </si>
  <si>
    <t>VN</t>
  </si>
  <si>
    <t>adfærd i relation til brug af stof</t>
  </si>
  <si>
    <t>Substance use behavior (observable entity)</t>
  </si>
  <si>
    <t>Wallis og Futuna</t>
  </si>
  <si>
    <t>WF</t>
  </si>
  <si>
    <t>nikotinpose</t>
  </si>
  <si>
    <t>Nicotine pouch (product)</t>
  </si>
  <si>
    <t>Yemen</t>
  </si>
  <si>
    <t>YE</t>
  </si>
  <si>
    <t>vandpibe</t>
  </si>
  <si>
    <t>Hookah pipe (physical object)</t>
  </si>
  <si>
    <t>Zambia</t>
  </si>
  <si>
    <t>ZM</t>
  </si>
  <si>
    <t>E/dag</t>
  </si>
  <si>
    <t>Unit/day (qualifier value)</t>
  </si>
  <si>
    <t>Zimbabwe</t>
  </si>
  <si>
    <t>ZW</t>
  </si>
  <si>
    <t>tyggetobak</t>
  </si>
  <si>
    <t>Chewing tobacco (substance)</t>
  </si>
  <si>
    <t>Ækvatorialguinea</t>
  </si>
  <si>
    <t>GQ</t>
  </si>
  <si>
    <t>Østrig</t>
  </si>
  <si>
    <t>AT</t>
  </si>
  <si>
    <t>nikotintyggegummi</t>
  </si>
  <si>
    <t>Nicotine chewing gum (medicinal product form)</t>
  </si>
  <si>
    <t>Østtimor</t>
  </si>
  <si>
    <t>TL</t>
  </si>
  <si>
    <t>elektronisk cigaret</t>
  </si>
  <si>
    <t>Electronic cigarette (physical object)</t>
  </si>
  <si>
    <t>Ålandsøerne</t>
  </si>
  <si>
    <t>AX</t>
  </si>
  <si>
    <t>ml/dag</t>
  </si>
  <si>
    <t>Milliliter/day (qualifier value)</t>
  </si>
  <si>
    <t>oplysning om beskæftigelse</t>
  </si>
  <si>
    <t>Employment detail (observable entity)</t>
  </si>
  <si>
    <t>2903011000005100</t>
  </si>
  <si>
    <t>hjemmefødsel ønsket</t>
  </si>
  <si>
    <t>Home delivery wanted (finding)</t>
  </si>
  <si>
    <t>550631000005103</t>
  </si>
  <si>
    <t>jordemoderklinik</t>
  </si>
  <si>
    <t>Midwife clinic (environment)</t>
  </si>
  <si>
    <t>konsultation - handling</t>
  </si>
  <si>
    <t>Consultation - action (qualifier value)</t>
  </si>
  <si>
    <t>fødselsforberedelse</t>
  </si>
  <si>
    <t>Childbirth preparation (regime/therapy)</t>
  </si>
  <si>
    <t>ønsket jordemoderklinik</t>
  </si>
  <si>
    <t>Wanted midwife clinic (observable entity)</t>
  </si>
  <si>
    <t>ugedage</t>
  </si>
  <si>
    <t>Days of the week (qualifier value)</t>
  </si>
  <si>
    <t>træk vedr. ernæring</t>
  </si>
  <si>
    <t>Nutritional observable (observable entity)</t>
  </si>
  <si>
    <t>træning</t>
  </si>
  <si>
    <t>Exercise (observable entity)</t>
  </si>
  <si>
    <t>brug af nikotin</t>
  </si>
  <si>
    <t>Use of nicotine (observable entity)</t>
  </si>
  <si>
    <t>bruger af nicotin før bekræftet graviditet</t>
  </si>
  <si>
    <t>Nicotine user before confirmation of pregnancy (finding)</t>
  </si>
  <si>
    <t>bruger af nicotin under graviditet</t>
  </si>
  <si>
    <t>Nicotine user during pregnancy (finding)</t>
  </si>
  <si>
    <t>dato for ophør med brug af nicotin</t>
  </si>
  <si>
    <t>Date ceased using nicotine (observable entity)</t>
  </si>
  <si>
    <t>oplysninger om partner</t>
  </si>
  <si>
    <t>Details of partner (observable entity)</t>
  </si>
  <si>
    <t>partner har problematisk alkoholforbrug</t>
  </si>
  <si>
    <t>Partner has problematic alcohol consumption (situation)</t>
  </si>
  <si>
    <t>partner har skadeligt brug af rusmidler</t>
  </si>
  <si>
    <t>Partner has harmful pattern of substance use (situation)</t>
  </si>
  <si>
    <t>partner har socialt problem</t>
  </si>
  <si>
    <t>Partner has social problem (situation)</t>
  </si>
  <si>
    <t>partner har udfordringer med psykisk helbred</t>
  </si>
  <si>
    <t>Partner has mental health problem (situation)</t>
  </si>
  <si>
    <t>partner har udfordringer med fysisk helbred</t>
  </si>
  <si>
    <t>Partner has physical health problem (situation)</t>
  </si>
  <si>
    <t>telefonnummer</t>
  </si>
  <si>
    <t>planlagt fødested</t>
  </si>
  <si>
    <t>Planned place of delivery (observable entity)</t>
  </si>
  <si>
    <t>Summary report (record artifact)</t>
  </si>
  <si>
    <t>træk vedr. stof</t>
  </si>
  <si>
    <t>Substance observable (observable entity)</t>
  </si>
  <si>
    <t>detaljer vedr. adfærd i relation til brug af stof</t>
  </si>
  <si>
    <t>Details of drug misuse behavior (observable entity)</t>
  </si>
  <si>
    <t>Misuses drugs (finding)</t>
  </si>
  <si>
    <t>almen klinisk tilstand</t>
  </si>
  <si>
    <t>General clinical state (observable entity)</t>
  </si>
  <si>
    <t>henvisning mhp. obstetrisk og gynækologisk behandling</t>
  </si>
  <si>
    <t>Referral to obstetrics and gynecology service (procedure)</t>
  </si>
  <si>
    <t>henvisning til social- og sundhedsforvaltning</t>
  </si>
  <si>
    <t>Referral to Social Services (procedure)</t>
  </si>
  <si>
    <t>træk vedr. flerfoldsgraviditet med risikofaktorer</t>
  </si>
  <si>
    <t>Multiple pregnancy with risk factors (observable entity)</t>
  </si>
  <si>
    <t>flerfoldsgraviditet</t>
  </si>
  <si>
    <t>Multiple pregnancy (finding)</t>
  </si>
  <si>
    <t>træk bestemt ved fortolkning af fund</t>
  </si>
  <si>
    <t>Interpretation of findings (observable entity)</t>
  </si>
  <si>
    <t>indikation for procedure</t>
  </si>
  <si>
    <t>Indication for procedure (observable entity)</t>
  </si>
  <si>
    <t>vurdering af helbredsmæssige og sociale behov</t>
  </si>
  <si>
    <t>Assessment of health and social care needs (procedure)</t>
  </si>
  <si>
    <t>sundhedsplejen</t>
  </si>
  <si>
    <t>Health visitors (environment)</t>
  </si>
  <si>
    <t>Sundhedsvæsnets Organisationsregister (SOR)</t>
  </si>
  <si>
    <t>beregnet terminsdato</t>
  </si>
  <si>
    <t>Estimated date of delivery (observable entity)</t>
  </si>
  <si>
    <t>seneste menstruationsperiodes 1. dag</t>
  </si>
  <si>
    <t>Last menstrual period - First day (observable entity)</t>
  </si>
  <si>
    <t>varighed af menstruationscyklus</t>
  </si>
  <si>
    <t>Duration of menstrual cycle (observable entity)</t>
  </si>
  <si>
    <t>beregnet terminsdato fra seneste menstruation</t>
  </si>
  <si>
    <t>Estimated date of delivery from last period (observable entity)</t>
  </si>
  <si>
    <t>graviditet med sikker termin</t>
  </si>
  <si>
    <t>Pregnancy with certain dates (finding)</t>
  </si>
  <si>
    <t>tildelt jordemoderklinik</t>
  </si>
  <si>
    <t>brug af og udsættelse for tobak</t>
  </si>
  <si>
    <t>Tobacco use and exposure (observable entity)</t>
  </si>
  <si>
    <t>henvisning til rygestopklinik</t>
  </si>
  <si>
    <t>Referral to stop-smoking clinic (procedure)</t>
  </si>
  <si>
    <t>udsat for tobaksrøg i hjemmet</t>
  </si>
  <si>
    <t>Exposed to tobacco smoke at home (finding)</t>
  </si>
  <si>
    <t>udsat for tobaksrøg på jobbet</t>
  </si>
  <si>
    <t>Exposed to tobacco smoke at work (finding)</t>
  </si>
  <si>
    <t>røg før bekræftet graviditet</t>
  </si>
  <si>
    <t>Smoked before confirmation of pregnancy (finding)</t>
  </si>
  <si>
    <t>moders forbrug af røgtobak under graviditet</t>
  </si>
  <si>
    <t>Maternal tobacco smoking consumption during pregnancy (observable entity)</t>
  </si>
  <si>
    <t>dato for rygeophør</t>
  </si>
  <si>
    <t>Date ceased smoking (observable entity)</t>
  </si>
  <si>
    <t>træk vedr. uddannelse og skolegang</t>
  </si>
  <si>
    <t>Education and schooling detail (observable entity)</t>
  </si>
  <si>
    <t>gennemført uddannelse</t>
  </si>
  <si>
    <t>Educational achievement (observable entity)</t>
  </si>
  <si>
    <t>status for modtagelse af ydelse</t>
  </si>
  <si>
    <t>Receipt of benefit status (observable entity)</t>
  </si>
  <si>
    <t>ønsket fødested</t>
  </si>
  <si>
    <t>Wanted place of delivery (observable entity)</t>
  </si>
  <si>
    <t>stoppet med brug af nicotin efter 1. trimester</t>
  </si>
  <si>
    <t>Stopped using nicotine after first trimester (finding)</t>
  </si>
  <si>
    <t>stoppet med brug af nicotin i 1. trimester</t>
  </si>
  <si>
    <t>Stopped using nicotine in first trimester (finding)</t>
  </si>
  <si>
    <t>Yes (qualifier value)</t>
  </si>
  <si>
    <t>arbejdsløs</t>
  </si>
  <si>
    <t>Unemployed (finding)</t>
  </si>
  <si>
    <t>hjemmegående</t>
  </si>
  <si>
    <t>Homemaker (person)</t>
  </si>
  <si>
    <t>pensioneret</t>
  </si>
  <si>
    <t>Retired, life event (finding)</t>
  </si>
  <si>
    <t>selvstændig erhvervsdrivende</t>
  </si>
  <si>
    <t>Self-employed (finding)</t>
  </si>
  <si>
    <t>studerende</t>
  </si>
  <si>
    <t>Student (occupation)</t>
  </si>
  <si>
    <t>udført</t>
  </si>
  <si>
    <t>Done (qualifier value)</t>
  </si>
  <si>
    <t>ikke ønsket</t>
  </si>
  <si>
    <t>Not wanted (qualifier value)</t>
  </si>
  <si>
    <t>ikke udført</t>
  </si>
  <si>
    <t>Not done (qualifier value)</t>
  </si>
  <si>
    <t>gruppekonsultation hos jordemoder</t>
  </si>
  <si>
    <t>Group consultation with midwife (procedure)</t>
  </si>
  <si>
    <t>individuel konsultation hos jordemoder</t>
  </si>
  <si>
    <t>Individual consultation with midwife (procedure)</t>
  </si>
  <si>
    <t>Basistilbud</t>
  </si>
  <si>
    <t>basistilbud ved graviditet</t>
  </si>
  <si>
    <t>Basic maternal care (regime/therapy)</t>
  </si>
  <si>
    <t>Samarbejde med specialiserede institutioner/familieambulatorie</t>
  </si>
  <si>
    <t>Udvidet basistilbud</t>
  </si>
  <si>
    <t>udvidet basistilbud ved graviditet</t>
  </si>
  <si>
    <t>Specialty maternal care (regime/therapy)</t>
  </si>
  <si>
    <t>Udvidet basistilbud inkl. tværfagligt samarbejde</t>
  </si>
  <si>
    <t>udvidet basistilbud ved graviditet inkl. tværfagligt samarbejde</t>
  </si>
  <si>
    <t>Subspecialty maternal care (regime/therapy)</t>
  </si>
  <si>
    <t>partner i arbejde eller under uddannelse</t>
  </si>
  <si>
    <t>Partner in employment or education (situation)</t>
  </si>
  <si>
    <t>partner ikke i arbejde eller under uddannelse</t>
  </si>
  <si>
    <t>Partner not in employment or education (situation)</t>
  </si>
  <si>
    <t>cigaretforbrug fra 11-20 cigaretter dagligt</t>
  </si>
  <si>
    <t>Cigarette consumption from 11-20 cigarettes per day (finding)</t>
  </si>
  <si>
    <t>cigaretforbrug fra 6-10 cigaretter dagligt</t>
  </si>
  <si>
    <t>Cigarette consumption from 6-10 cigarettes per day (finding)</t>
  </si>
  <si>
    <t>cigaretforbrug op til 5 cigaretter dagligt</t>
  </si>
  <si>
    <t>Cigarette consumption up to 5 per day (finding)</t>
  </si>
  <si>
    <t>ryger med stort forbrug (over 20 cigaretter eller tilsvarende om dagen)</t>
  </si>
  <si>
    <t>Heavy smoker (over 20 per day) (finding)</t>
  </si>
  <si>
    <t>ryger</t>
  </si>
  <si>
    <t>Smoker (finding)</t>
  </si>
  <si>
    <t>ukendt røgtobaksforbrug</t>
  </si>
  <si>
    <t>Tobacco smoking consumption unknown (finding)</t>
  </si>
  <si>
    <t>stoppet med rygning efter 1. trimester</t>
  </si>
  <si>
    <t>Stopped smoking after first trimester (finding)</t>
  </si>
  <si>
    <t>stoppet med rygning i 1. trimester</t>
  </si>
  <si>
    <t>Stopped smoking in first trimester (finding)</t>
  </si>
  <si>
    <t>ikkeryger</t>
  </si>
  <si>
    <t>Non-smoker (finding)</t>
  </si>
  <si>
    <t>præparat eller medikament</t>
  </si>
  <si>
    <t>Drug or medicament (substance)</t>
  </si>
  <si>
    <t>beroligende middel</t>
  </si>
  <si>
    <t>Tranquilizer (substance)</t>
  </si>
  <si>
    <t>Cannabis (substance)</t>
  </si>
  <si>
    <t>analgetikum</t>
  </si>
  <si>
    <t>Analgesic (substance)</t>
  </si>
  <si>
    <t>stimulerende middel</t>
  </si>
  <si>
    <t>Stimulant (substance)</t>
  </si>
  <si>
    <t>modtaget erhvervsuddannelse</t>
  </si>
  <si>
    <t>Received vocational training (finding)</t>
  </si>
  <si>
    <t>uddannet til grundskoleniveau</t>
  </si>
  <si>
    <t>Educated to junior school level (finding)</t>
  </si>
  <si>
    <t>uddannet til gymnasieskoleniveau</t>
  </si>
  <si>
    <t>Educated to secondary school level (finding)</t>
  </si>
  <si>
    <t>modtaget kort videregående uddannelse</t>
  </si>
  <si>
    <t>Received short-cycle higher education (finding)</t>
  </si>
  <si>
    <t>modtaget universitetsuddannelse</t>
  </si>
  <si>
    <t>Received university education (finding)</t>
  </si>
  <si>
    <t>modtaget mellemlang videregående uddannelse</t>
  </si>
  <si>
    <t>Received medium-cycle higher education (finding)</t>
  </si>
  <si>
    <t>Daily (qualifier value)</t>
  </si>
  <si>
    <t>Occasional (qualifier value)</t>
  </si>
  <si>
    <t>modtager kontanthjælp</t>
  </si>
  <si>
    <t>Receives social security benefits (finding)</t>
  </si>
  <si>
    <t>modtager revalideringsydelse</t>
  </si>
  <si>
    <t>Receives rehabilitation benefits (finding)</t>
  </si>
  <si>
    <t>mandag</t>
  </si>
  <si>
    <t>Monday (qualifier value)</t>
  </si>
  <si>
    <t>tirsdag</t>
  </si>
  <si>
    <t>Tuesday (qualifier value)</t>
  </si>
  <si>
    <t>onsdag</t>
  </si>
  <si>
    <t>Wednesday (qualifier value)</t>
  </si>
  <si>
    <t>torsdag</t>
  </si>
  <si>
    <t>Thursday (qualifier value)</t>
  </si>
  <si>
    <t>fredag</t>
  </si>
  <si>
    <t>Friday (qualifier value)</t>
  </si>
  <si>
    <t>lørdag</t>
  </si>
  <si>
    <t>Saturday (qualifier value)</t>
  </si>
  <si>
    <t>søndag</t>
  </si>
  <si>
    <t>Sunday (qualifier value)</t>
  </si>
  <si>
    <t>258896009</t>
  </si>
  <si>
    <t>kg/m^2</t>
  </si>
  <si>
    <t>kgm2</t>
  </si>
  <si>
    <t>Kilogram/square meter (qualifier value)</t>
  </si>
  <si>
    <t>248918004</t>
  </si>
  <si>
    <t>længde af cervix uteri</t>
  </si>
  <si>
    <t>Length of uterine cervix (observable entity)</t>
  </si>
  <si>
    <t>258673006</t>
  </si>
  <si>
    <t>Millimeter (qualifier value)</t>
  </si>
  <si>
    <t>cervixlængde</t>
  </si>
  <si>
    <t>364348009</t>
  </si>
  <si>
    <t>træk vedr. fosterhinde</t>
  </si>
  <si>
    <t>Uterine membrane feature (observable entity)</t>
  </si>
  <si>
    <t>271650006</t>
  </si>
  <si>
    <t>diastolisk blodtryk</t>
  </si>
  <si>
    <t>Diastolic blood pressure (observable entity)</t>
  </si>
  <si>
    <t>259018001</t>
  </si>
  <si>
    <t>mmHg</t>
  </si>
  <si>
    <t>Millimeter of mercury (qualifier value)</t>
  </si>
  <si>
    <t>648131000005102</t>
  </si>
  <si>
    <t>forekomst af erytrocytter i urin</t>
  </si>
  <si>
    <t>Presence of erythrocytes in urine (observable entity)</t>
  </si>
  <si>
    <t>277289004</t>
  </si>
  <si>
    <t>10^6/l</t>
  </si>
  <si>
    <t>10^6/liter (qualifier value)</t>
  </si>
  <si>
    <t>249040004</t>
  </si>
  <si>
    <t>fosterets bevægelsesaktivitet</t>
  </si>
  <si>
    <t>Fetal movement activity (observable entity)</t>
  </si>
  <si>
    <t>246435002</t>
  </si>
  <si>
    <t>fosterantal</t>
  </si>
  <si>
    <t>antal fostre</t>
  </si>
  <si>
    <t>Number of fetuses (observable entity)</t>
  </si>
  <si>
    <t>271692001</t>
  </si>
  <si>
    <t>fosterpræsentation</t>
  </si>
  <si>
    <t>Presentation of fetus (observable entity)</t>
  </si>
  <si>
    <t>627961000005109</t>
  </si>
  <si>
    <t>fosterskøn</t>
  </si>
  <si>
    <t>Estimated fetal weight (observable entity)</t>
  </si>
  <si>
    <t>258682000</t>
  </si>
  <si>
    <t>g</t>
  </si>
  <si>
    <t>gram (qualifier value)</t>
  </si>
  <si>
    <t>88299004</t>
  </si>
  <si>
    <t>produktion af amnionvæske</t>
  </si>
  <si>
    <t>Amniotic fluid production, function (observable entity)</t>
  </si>
  <si>
    <t>Gestational age (observable entity)</t>
  </si>
  <si>
    <t>258703001</t>
  </si>
  <si>
    <t>d</t>
  </si>
  <si>
    <t>døgn</t>
  </si>
  <si>
    <t>day (qualifier value)</t>
  </si>
  <si>
    <t>251396006</t>
  </si>
  <si>
    <t>GLU (U-Glucose POC)</t>
  </si>
  <si>
    <t>glucoseudskillelse i urin</t>
  </si>
  <si>
    <t>Urinary glucose output (observable entity)</t>
  </si>
  <si>
    <t>258813002</t>
  </si>
  <si>
    <t>mmol/L</t>
  </si>
  <si>
    <t>Millimole/liter (qualifier value)</t>
  </si>
  <si>
    <t>271660002</t>
  </si>
  <si>
    <t>hjertelyd</t>
  </si>
  <si>
    <t>højde</t>
  </si>
  <si>
    <t>258672001</t>
  </si>
  <si>
    <t>centimeter</t>
  </si>
  <si>
    <t>Centimeter (qualifier value)</t>
  </si>
  <si>
    <t>638021000005100</t>
  </si>
  <si>
    <t>forekomst af ketonstoffer i urin</t>
  </si>
  <si>
    <t>Presence of ketones in urine (observable entity)</t>
  </si>
  <si>
    <t>ketonstoffer i urin</t>
  </si>
  <si>
    <t>628011000005109</t>
  </si>
  <si>
    <t>Sandsynlighed for kromosomafvigelser</t>
  </si>
  <si>
    <t>risiko for kromosomanomali</t>
  </si>
  <si>
    <t>Assessment of risk for chromosomal disorder (observable entity)</t>
  </si>
  <si>
    <t>638001000005108</t>
  </si>
  <si>
    <t>forekomst af leukocytter i urin</t>
  </si>
  <si>
    <t>Presence of leukocytes in urine (observable entity)</t>
  </si>
  <si>
    <t>leukocytter i urin</t>
  </si>
  <si>
    <t>638041000005105</t>
  </si>
  <si>
    <t>nitrit i urin</t>
  </si>
  <si>
    <t>forekomst af nitrit i urin</t>
  </si>
  <si>
    <t>Presence of nitrite in urine (observable entity)</t>
  </si>
  <si>
    <t>628001000005106</t>
  </si>
  <si>
    <t>placentas placering i livmoderen</t>
  </si>
  <si>
    <t>Location of placenta in uterus (observable entity)</t>
  </si>
  <si>
    <t>638011000005106</t>
  </si>
  <si>
    <t>forekomst af protein i urin</t>
  </si>
  <si>
    <t>Presence of protein in urine (observable entity)</t>
  </si>
  <si>
    <t>258794004</t>
  </si>
  <si>
    <t>g/L</t>
  </si>
  <si>
    <t>Gram/liter (qualifier value)</t>
  </si>
  <si>
    <t>protein i urin</t>
  </si>
  <si>
    <t>364253002</t>
  </si>
  <si>
    <t>symfyse-fundus-mål</t>
  </si>
  <si>
    <t>Fundal height of uterus (observable entity)</t>
  </si>
  <si>
    <t>Symfyse-fundus mål</t>
  </si>
  <si>
    <t>271649006</t>
  </si>
  <si>
    <t>systolisk blodtryk</t>
  </si>
  <si>
    <t>Systolic blood pressure (observable entity)</t>
  </si>
  <si>
    <t>738070007</t>
  </si>
  <si>
    <t>dato</t>
  </si>
  <si>
    <t>beregnet terminsdato ud fra prænatal ultralydsscanning</t>
  </si>
  <si>
    <t>Estimated date of delivery from antenatal ultrasound scan (observable entity)</t>
  </si>
  <si>
    <t>627991000005103</t>
  </si>
  <si>
    <t>UL vægt</t>
  </si>
  <si>
    <t>skønnet fostervægt ved ultralyd</t>
  </si>
  <si>
    <t>Estimated fetal weight by ultrasound (observable entity)</t>
  </si>
  <si>
    <t>Vægt</t>
  </si>
  <si>
    <t>627981000005101</t>
  </si>
  <si>
    <t>UL Fosterpræsentation</t>
  </si>
  <si>
    <t>fosterpræsentation ved ultralyd</t>
  </si>
  <si>
    <t>Presentation of fetus by ultrasound (observable entity)</t>
  </si>
  <si>
    <t>16310003</t>
  </si>
  <si>
    <t>Ultralydsmåling</t>
  </si>
  <si>
    <t>ultralydsundersøgelse</t>
  </si>
  <si>
    <t>Ultrasonography (procedure)</t>
  </si>
  <si>
    <t>364687002</t>
  </si>
  <si>
    <t>Urinprøve</t>
  </si>
  <si>
    <t>træk vedr. urin</t>
  </si>
  <si>
    <t>Urine observable (observable entity)</t>
  </si>
  <si>
    <t>27113001</t>
  </si>
  <si>
    <t>vægt</t>
  </si>
  <si>
    <t>kropsvægt</t>
  </si>
  <si>
    <t>Body weight (observable entity)</t>
  </si>
  <si>
    <t>258683005</t>
  </si>
  <si>
    <t>legemsvægt</t>
  </si>
  <si>
    <t>248353000</t>
  </si>
  <si>
    <t>Vægtafvigelse</t>
  </si>
  <si>
    <t>procent af referencevægt</t>
  </si>
  <si>
    <t>Percentage of reference weight (observable entity)</t>
  </si>
  <si>
    <t>415067009</t>
  </si>
  <si>
    <t>pct.</t>
  </si>
  <si>
    <t>procentenhed</t>
  </si>
  <si>
    <t>Percentage unit (qualifier value)</t>
  </si>
  <si>
    <t>vægtafvigelse</t>
  </si>
  <si>
    <t>423484008</t>
  </si>
  <si>
    <t>grad af ødem</t>
  </si>
  <si>
    <t>Grade of edema (observable entity)</t>
  </si>
  <si>
    <t>17481000202102</t>
  </si>
  <si>
    <t>lokalisation af ødem</t>
  </si>
  <si>
    <t>Location of edema (observable entity)</t>
  </si>
  <si>
    <t>Ingen</t>
  </si>
  <si>
    <t>fosterbevægelser ikke iagttaget</t>
  </si>
  <si>
    <t>Fetal movements not observed (finding)</t>
  </si>
  <si>
    <t>Mindre</t>
  </si>
  <si>
    <t>reduceret fosterbevægelse</t>
  </si>
  <si>
    <t>Reduced fetal movement (finding)</t>
  </si>
  <si>
    <t>Normal</t>
  </si>
  <si>
    <t>fosterbevægelser påvist</t>
  </si>
  <si>
    <t>Fetal movements present (finding)</t>
  </si>
  <si>
    <t>hovedpræsentation</t>
  </si>
  <si>
    <t>Cephalic fetal presentation (finding)</t>
  </si>
  <si>
    <t>underkropspræsentation</t>
  </si>
  <si>
    <t>Breech presentation (finding)</t>
  </si>
  <si>
    <t>tværleje</t>
  </si>
  <si>
    <t>Transverse lie (disorder)</t>
  </si>
  <si>
    <t>skråleje</t>
  </si>
  <si>
    <t>Oblique lie (disorder)</t>
  </si>
  <si>
    <t>mængde af amnionvæske inden for referenceinterval</t>
  </si>
  <si>
    <t>Amniotic fluid volume within reference range (finding)</t>
  </si>
  <si>
    <t>Mindsket</t>
  </si>
  <si>
    <t>mængde af amnionvæske under referenceinterval</t>
  </si>
  <si>
    <t>Amniotic fluid volume below reference range (finding)</t>
  </si>
  <si>
    <t>Øget</t>
  </si>
  <si>
    <t>mængde af amnionvæske over referenceinterval</t>
  </si>
  <si>
    <t>Amniotic fluid volume above reference range (finding)</t>
  </si>
  <si>
    <t>hjertelyd ikke påvist</t>
  </si>
  <si>
    <t>fosterhjertelyd ikke påvist</t>
  </si>
  <si>
    <t>Fetal heart sounds absent</t>
  </si>
  <si>
    <t>hjertelyd påvist</t>
  </si>
  <si>
    <t>fosterhjertelyd påvist</t>
  </si>
  <si>
    <t>Fetal heart sounds present</t>
  </si>
  <si>
    <t>Høj</t>
  </si>
  <si>
    <t>høj risiko</t>
  </si>
  <si>
    <t>High risk (qualifier value)</t>
  </si>
  <si>
    <t>Lav</t>
  </si>
  <si>
    <t>lav risiko</t>
  </si>
  <si>
    <t>Low risk (qualifier value)</t>
  </si>
  <si>
    <t>nitrit i urin negativ</t>
  </si>
  <si>
    <t>Nitrite not detected in urine (finding)</t>
  </si>
  <si>
    <t>nitrit i urin positiv</t>
  </si>
  <si>
    <t>Nitrite detected in urine (finding)</t>
  </si>
  <si>
    <t>Beskrivelse øverst - PSCR</t>
  </si>
  <si>
    <t>Title</t>
  </si>
  <si>
    <t xml:space="preserve">Pregnancy Shared Care Record - </t>
  </si>
  <si>
    <t xml:space="preserve">Pregnancy Referal Form  - </t>
  </si>
  <si>
    <t>PSCR kronologisk nummer</t>
  </si>
  <si>
    <t>Filename</t>
  </si>
  <si>
    <t xml:space="preserve">PSCR-DK - </t>
  </si>
  <si>
    <t xml:space="preserve">PRF-DK - </t>
  </si>
  <si>
    <t>LastChanged date</t>
  </si>
  <si>
    <t>********************************************************</t>
  </si>
  <si>
    <t> This example contains Summary Report Section (templateId root="1.2.208.184.20.2.65) only</t>
  </si>
  <si>
    <t> ********************************************************</t>
  </si>
  <si>
    <t>Deskriptiv tekst for testpersona</t>
  </si>
  <si>
    <t>Læge forfatter</t>
  </si>
  <si>
    <t>Jordemoder forfatter</t>
  </si>
  <si>
    <r>
      <t xml:space="preserve">  </t>
    </r>
    <r>
      <rPr>
        <b/>
        <sz val="11"/>
        <color rgb="FF6A9955"/>
        <rFont val="Consolas"/>
        <charset val="1"/>
      </rPr>
      <t>&lt;!-- Unik ID for this PSCR-DK instance --&gt;</t>
    </r>
  </si>
  <si>
    <t>assigningAuthorityName</t>
  </si>
  <si>
    <t>Sundhedsdatastyrelsen</t>
  </si>
  <si>
    <t>title</t>
  </si>
  <si>
    <t>Extension</t>
  </si>
  <si>
    <t>UUID for instans</t>
  </si>
  <si>
    <r>
      <t> </t>
    </r>
    <r>
      <rPr>
        <b/>
        <sz val="11"/>
        <color rgb="FF6A9955"/>
        <rFont val="Consolas"/>
        <charset val="1"/>
      </rPr>
      <t>&lt;!-- PSCR-DK generated at:  --&gt;</t>
    </r>
  </si>
  <si>
    <t>EffectiveTime</t>
  </si>
  <si>
    <t>(Aftaledato)</t>
  </si>
  <si>
    <t>&lt;!-- This recordTarget indentifies the patient and related information from CPR --&gt;</t>
  </si>
  <si>
    <t>CPR extension</t>
  </si>
  <si>
    <t>&lt;!-- This is the address from CPR --&gt;</t>
  </si>
  <si>
    <t>streetAddressLine</t>
  </si>
  <si>
    <t>Mosegårdsparken 92</t>
  </si>
  <si>
    <t>postalCode</t>
  </si>
  <si>
    <t>city</t>
  </si>
  <si>
    <t>København</t>
  </si>
  <si>
    <t>given</t>
  </si>
  <si>
    <t>family</t>
  </si>
  <si>
    <t>birthTime value</t>
  </si>
  <si>
    <t>providerOrganization</t>
  </si>
  <si>
    <t>SOR extension</t>
  </si>
  <si>
    <t>1411551000016000</t>
  </si>
  <si>
    <t>name</t>
  </si>
  <si>
    <t>Lægerne i Sundhedshuset Hedehusene</t>
  </si>
  <si>
    <t>&lt;!-- ClinicalDocument.author.assignedAuthor 1..1 --&gt;</t>
  </si>
  <si>
    <t>141155100001600</t>
  </si>
  <si>
    <t>1010591000016000</t>
  </si>
  <si>
    <t>1148671000016000</t>
  </si>
  <si>
    <t>500841000016006</t>
  </si>
  <si>
    <t>491381000016009</t>
  </si>
  <si>
    <t>prefix</t>
  </si>
  <si>
    <t>Beatrice</t>
  </si>
  <si>
    <t>Mona</t>
  </si>
  <si>
    <t>Helga</t>
  </si>
  <si>
    <t>Oline</t>
  </si>
  <si>
    <t>Stella</t>
  </si>
  <si>
    <t>Lund</t>
  </si>
  <si>
    <t>Hjort</t>
  </si>
  <si>
    <t>Skov</t>
  </si>
  <si>
    <t>Guldager</t>
  </si>
  <si>
    <t>Engedal</t>
  </si>
  <si>
    <r>
      <t>&lt;/</t>
    </r>
    <r>
      <rPr>
        <b/>
        <sz val="11"/>
        <color rgb="FF569CD6"/>
        <rFont val="Consolas"/>
        <charset val="1"/>
      </rPr>
      <t>assignedPerson</t>
    </r>
    <r>
      <rPr>
        <b/>
        <sz val="11"/>
        <color rgb="FF808080"/>
        <rFont val="Consolas"/>
        <charset val="1"/>
      </rPr>
      <t>&gt;</t>
    </r>
  </si>
  <si>
    <t>Silkeborg jordemoderhus</t>
  </si>
  <si>
    <t>Team Sundhedsplejersker - Amager</t>
  </si>
  <si>
    <t>Obstetrik Tværgående</t>
  </si>
  <si>
    <t>Føtalmedicin Ultralydskanning</t>
  </si>
  <si>
    <t>Hotelvej 11</t>
  </si>
  <si>
    <t>Frederiksberggade 23</t>
  </si>
  <si>
    <t>Lyongade 25</t>
  </si>
  <si>
    <t>Blegdamsvej 9</t>
  </si>
  <si>
    <t>Hedehusene Region Hovedstaden</t>
  </si>
  <si>
    <t>Hedehusene</t>
  </si>
  <si>
    <t>Silkeborg</t>
  </si>
  <si>
    <t>København S</t>
  </si>
  <si>
    <t>København Ø</t>
  </si>
  <si>
    <r>
      <t>&lt;</t>
    </r>
    <r>
      <rPr>
        <b/>
        <sz val="11"/>
        <color rgb="FF569CD6"/>
        <rFont val="Consolas"/>
        <charset val="1"/>
      </rPr>
      <t>custodian</t>
    </r>
    <r>
      <rPr>
        <b/>
        <sz val="11"/>
        <color rgb="FF808080"/>
        <rFont val="Consolas"/>
        <charset val="1"/>
      </rPr>
      <t>&gt;</t>
    </r>
  </si>
  <si>
    <t>&lt;!-- id @root is set to SDS-root--&gt;</t>
  </si>
  <si>
    <t>634491000016008</t>
  </si>
  <si>
    <t>&lt;!--This id @extension equals the episode-of-care UUID --&gt;</t>
  </si>
  <si>
    <t>UUID genereret af script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</si>
</sst>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h:mm:ss;@"/>
  </numFmts>
  <fonts count="32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scheme val="minor"/>
    </font>
    <font>
      <b/>
      <sz val="18"/>
      <color theme="1"/>
      <name val="Aptos Narrow"/>
      <family val="2"/>
      <scheme val="minor"/>
    </font>
    <font>
      <u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sz val="11"/>
      <color rgb="FF000000"/>
      <name val="Aptos Narrow"/>
      <charset val="1"/>
    </font>
    <font>
      <sz val="11"/>
      <color rgb="FFFF0000"/>
      <name val="Aptos Narrow"/>
      <family val="2"/>
      <scheme val="minor"/>
    </font>
    <font>
      <sz val="11"/>
      <color theme="2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sz val="11"/>
      <color theme="5" tint="-0.249977111117893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sz val="11"/>
      <color rgb="FF6A9955"/>
      <name val="Consolas"/>
      <charset val="1"/>
    </font>
    <font>
      <b/>
      <sz val="11"/>
      <color rgb="FFCCCCCC"/>
      <name val="Consolas"/>
      <charset val="1"/>
    </font>
    <font>
      <b/>
      <sz val="11"/>
      <color rgb="FF6A9955"/>
      <name val="Consolas"/>
      <charset val="1"/>
    </font>
    <font>
      <b/>
      <sz val="11"/>
      <color rgb="FF569CD6"/>
      <name val="Consolas"/>
      <charset val="1"/>
    </font>
    <font>
      <b/>
      <sz val="11"/>
      <color rgb="FF808080"/>
      <name val="Consolas"/>
      <charset val="1"/>
    </font>
    <font>
      <b/>
      <sz val="16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u val="double"/>
      <sz val="11"/>
      <color theme="1"/>
      <name val="Aptos Narrow"/>
      <family val="2"/>
      <scheme val="minor"/>
    </font>
    <font>
      <b/>
      <i/>
      <sz val="10"/>
      <color rgb="FF3F3F3F"/>
      <name val="Calibri"/>
      <family val="2"/>
      <charset val="1"/>
    </font>
    <font>
      <b/>
      <sz val="22"/>
      <color rgb="FF365F91"/>
      <name val="Calibri"/>
      <family val="2"/>
      <charset val="1"/>
    </font>
    <font>
      <b/>
      <sz val="8"/>
      <color rgb="FF000000"/>
      <name val="Consolas"/>
      <charset val="1"/>
    </font>
    <font>
      <sz val="8"/>
      <color rgb="FF222222"/>
      <name val="Arial"/>
      <family val="2"/>
      <charset val="1"/>
    </font>
    <font>
      <u/>
      <sz val="11"/>
      <color theme="10"/>
      <name val="Aptos Narrow"/>
      <family val="2"/>
      <scheme val="minor"/>
    </font>
    <font>
      <b/>
      <sz val="9"/>
      <color rgb="FFFFFFFF"/>
      <name val="Times New Roman"/>
      <family val="1"/>
    </font>
    <font>
      <sz val="12"/>
      <color rgb="FF000000"/>
      <name val="Arial"/>
      <family val="2"/>
    </font>
    <font>
      <b/>
      <i/>
      <sz val="10"/>
      <color rgb="FF3F3F3F"/>
      <name val="Calibri"/>
      <family val="2"/>
    </font>
    <font>
      <sz val="10"/>
      <color rgb="FF000000"/>
      <name val="Times New Roman"/>
      <family val="1"/>
    </font>
    <font>
      <sz val="11"/>
      <color rgb="FF000000"/>
      <name val="Calibri"/>
      <family val="2"/>
    </font>
    <font>
      <sz val="9"/>
      <color rgb="FF202122"/>
      <name val="Arial"/>
      <family val="2"/>
    </font>
    <font>
      <b/>
      <sz val="10"/>
      <color rgb="FF000000"/>
      <name val="Times New Roman"/>
      <family val="1"/>
    </font>
  </fonts>
  <fills count="37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D55E00"/>
        <bgColor indexed="64"/>
      </patternFill>
    </fill>
    <fill>
      <patternFill patternType="solid">
        <fgColor rgb="FFCC79A7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E3B7CF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9B3B70"/>
        <bgColor indexed="64"/>
      </patternFill>
    </fill>
    <fill>
      <patternFill patternType="solid">
        <fgColor rgb="FF2E2E2E"/>
        <bgColor indexed="64"/>
      </patternFill>
    </fill>
    <fill>
      <patternFill patternType="solid">
        <fgColor rgb="FFF0E442"/>
        <bgColor indexed="64"/>
      </patternFill>
    </fill>
    <fill>
      <patternFill patternType="solid">
        <fgColor rgb="FFFF9D4D"/>
        <bgColor indexed="64"/>
      </patternFill>
    </fill>
    <fill>
      <patternFill patternType="solid">
        <fgColor rgb="FF56B4E9"/>
        <bgColor indexed="64"/>
      </patternFill>
    </fill>
    <fill>
      <patternFill patternType="solid">
        <fgColor rgb="FF99D3F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gray125">
        <bgColor rgb="FFE5E5E5"/>
      </patternFill>
    </fill>
    <fill>
      <patternFill patternType="solid">
        <fgColor rgb="FFFFFFFF"/>
        <bgColor indexed="64"/>
      </patternFill>
    </fill>
    <fill>
      <patternFill patternType="darkGray">
        <fgColor rgb="FF000000"/>
        <bgColor rgb="FF200000"/>
      </patternFill>
    </fill>
    <fill>
      <patternFill patternType="gray125">
        <fgColor rgb="FF000000"/>
        <bgColor rgb="FFE5E5E5"/>
      </patternFill>
    </fill>
    <fill>
      <patternFill patternType="solid">
        <fgColor rgb="FFFFFFFF"/>
        <bgColor rgb="FF000000"/>
      </patternFill>
    </fill>
  </fills>
  <borders count="30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/>
      <top style="thin">
        <color rgb="FF000000"/>
      </top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/>
      <top style="thin">
        <color rgb="FF808080"/>
      </top>
      <bottom/>
      <diagonal/>
    </border>
    <border>
      <left style="thin">
        <color rgb="FF808080"/>
      </left>
      <right/>
      <top/>
      <bottom style="thin">
        <color rgb="FF808080"/>
      </bottom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4" fillId="0" borderId="0" applyNumberFormat="0" applyFill="0" applyBorder="0" applyAlignment="0" applyProtection="0"/>
  </cellStyleXfs>
  <cellXfs count="168">
    <xf numFmtId="0" fontId="0" fillId="0" borderId="0" xfId="0"/>
    <xf numFmtId="0" fontId="1" fillId="0" borderId="0" xfId="0" applyFont="1"/>
    <xf numFmtId="0" fontId="0" fillId="0" borderId="0" xfId="0" applyAlignment="1">
      <alignment wrapText="1"/>
    </xf>
    <xf numFmtId="0" fontId="2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3" fillId="0" borderId="0" xfId="0" applyFont="1"/>
    <xf numFmtId="0" fontId="4" fillId="0" borderId="0" xfId="0" applyFont="1"/>
    <xf numFmtId="0" fontId="1" fillId="0" borderId="2" xfId="0" applyFont="1" applyBorder="1"/>
    <xf numFmtId="0" fontId="0" fillId="0" borderId="3" xfId="0" applyBorder="1"/>
    <xf numFmtId="0" fontId="0" fillId="0" borderId="5" xfId="0" applyBorder="1"/>
    <xf numFmtId="0" fontId="0" fillId="0" borderId="6" xfId="0" applyBorder="1"/>
    <xf numFmtId="2" fontId="0" fillId="0" borderId="0" xfId="0" applyNumberFormat="1"/>
    <xf numFmtId="0" fontId="1" fillId="0" borderId="5" xfId="0" applyFont="1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2" borderId="10" xfId="0" applyFill="1" applyBorder="1"/>
    <xf numFmtId="14" fontId="0" fillId="0" borderId="0" xfId="0" applyNumberFormat="1"/>
    <xf numFmtId="164" fontId="0" fillId="0" borderId="0" xfId="0" applyNumberFormat="1"/>
    <xf numFmtId="0" fontId="2" fillId="3" borderId="0" xfId="0" applyFont="1" applyFill="1"/>
    <xf numFmtId="0" fontId="1" fillId="3" borderId="0" xfId="0" applyFont="1" applyFill="1"/>
    <xf numFmtId="0" fontId="0" fillId="3" borderId="0" xfId="0" applyFill="1"/>
    <xf numFmtId="0" fontId="5" fillId="0" borderId="0" xfId="0" applyFont="1"/>
    <xf numFmtId="0" fontId="1" fillId="4" borderId="0" xfId="0" applyFont="1" applyFill="1"/>
    <xf numFmtId="0" fontId="0" fillId="4" borderId="0" xfId="0" applyFill="1"/>
    <xf numFmtId="0" fontId="0" fillId="4" borderId="0" xfId="0" applyFill="1" applyAlignment="1">
      <alignment wrapText="1"/>
    </xf>
    <xf numFmtId="0" fontId="4" fillId="4" borderId="0" xfId="0" applyFont="1" applyFill="1"/>
    <xf numFmtId="49" fontId="1" fillId="0" borderId="0" xfId="0" applyNumberFormat="1" applyFont="1"/>
    <xf numFmtId="49" fontId="0" fillId="0" borderId="0" xfId="0" applyNumberFormat="1"/>
    <xf numFmtId="49" fontId="3" fillId="0" borderId="0" xfId="0" applyNumberFormat="1" applyFont="1"/>
    <xf numFmtId="0" fontId="1" fillId="0" borderId="4" xfId="0" applyFont="1" applyBorder="1"/>
    <xf numFmtId="0" fontId="6" fillId="0" borderId="0" xfId="0" applyFont="1"/>
    <xf numFmtId="0" fontId="1" fillId="0" borderId="3" xfId="0" applyFont="1" applyBorder="1"/>
    <xf numFmtId="14" fontId="0" fillId="0" borderId="0" xfId="0" applyNumberFormat="1" applyAlignment="1">
      <alignment horizontal="left"/>
    </xf>
    <xf numFmtId="14" fontId="5" fillId="5" borderId="0" xfId="0" applyNumberFormat="1" applyFont="1" applyFill="1"/>
    <xf numFmtId="0" fontId="5" fillId="5" borderId="0" xfId="0" applyFont="1" applyFill="1"/>
    <xf numFmtId="0" fontId="0" fillId="0" borderId="0" xfId="0" applyAlignment="1">
      <alignment horizontal="left"/>
    </xf>
    <xf numFmtId="0" fontId="6" fillId="0" borderId="3" xfId="0" applyFont="1" applyBorder="1"/>
    <xf numFmtId="0" fontId="1" fillId="0" borderId="6" xfId="0" applyFont="1" applyBorder="1"/>
    <xf numFmtId="0" fontId="0" fillId="0" borderId="0" xfId="0" quotePrefix="1"/>
    <xf numFmtId="0" fontId="0" fillId="6" borderId="0" xfId="0" applyFill="1"/>
    <xf numFmtId="0" fontId="0" fillId="7" borderId="0" xfId="0" applyFill="1"/>
    <xf numFmtId="2" fontId="0" fillId="8" borderId="0" xfId="0" applyNumberFormat="1" applyFill="1"/>
    <xf numFmtId="2" fontId="0" fillId="9" borderId="0" xfId="0" applyNumberFormat="1" applyFill="1"/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2" fontId="0" fillId="14" borderId="0" xfId="0" applyNumberFormat="1" applyFill="1"/>
    <xf numFmtId="0" fontId="0" fillId="15" borderId="0" xfId="0" applyFill="1"/>
    <xf numFmtId="0" fontId="0" fillId="16" borderId="0" xfId="0" applyFill="1"/>
    <xf numFmtId="0" fontId="7" fillId="17" borderId="0" xfId="0" applyFont="1" applyFill="1"/>
    <xf numFmtId="0" fontId="0" fillId="5" borderId="0" xfId="0" applyFill="1"/>
    <xf numFmtId="2" fontId="0" fillId="18" borderId="0" xfId="0" applyNumberFormat="1" applyFill="1"/>
    <xf numFmtId="0" fontId="7" fillId="19" borderId="0" xfId="0" applyFont="1" applyFill="1"/>
    <xf numFmtId="0" fontId="0" fillId="20" borderId="0" xfId="0" applyFill="1"/>
    <xf numFmtId="2" fontId="0" fillId="21" borderId="0" xfId="0" applyNumberFormat="1" applyFill="1"/>
    <xf numFmtId="2" fontId="0" fillId="22" borderId="0" xfId="0" applyNumberFormat="1" applyFill="1"/>
    <xf numFmtId="0" fontId="0" fillId="23" borderId="0" xfId="0" applyFill="1"/>
    <xf numFmtId="0" fontId="7" fillId="24" borderId="0" xfId="0" applyFont="1" applyFill="1"/>
    <xf numFmtId="0" fontId="0" fillId="25" borderId="0" xfId="0" applyFill="1"/>
    <xf numFmtId="0" fontId="0" fillId="27" borderId="0" xfId="0" applyFill="1"/>
    <xf numFmtId="0" fontId="0" fillId="17" borderId="0" xfId="0" applyFill="1"/>
    <xf numFmtId="2" fontId="0" fillId="28" borderId="0" xfId="0" applyNumberFormat="1" applyFill="1"/>
    <xf numFmtId="2" fontId="0" fillId="29" borderId="0" xfId="0" applyNumberFormat="1" applyFill="1"/>
    <xf numFmtId="0" fontId="0" fillId="29" borderId="5" xfId="0" applyFill="1" applyBorder="1"/>
    <xf numFmtId="0" fontId="0" fillId="29" borderId="7" xfId="0" applyFill="1" applyBorder="1"/>
    <xf numFmtId="0" fontId="0" fillId="17" borderId="5" xfId="0" applyFill="1" applyBorder="1"/>
    <xf numFmtId="49" fontId="0" fillId="17" borderId="0" xfId="0" applyNumberFormat="1" applyFill="1"/>
    <xf numFmtId="2" fontId="0" fillId="26" borderId="0" xfId="0" applyNumberFormat="1" applyFill="1"/>
    <xf numFmtId="0" fontId="8" fillId="0" borderId="0" xfId="0" applyFont="1"/>
    <xf numFmtId="0" fontId="1" fillId="0" borderId="1" xfId="0" applyFont="1" applyBorder="1" applyAlignment="1">
      <alignment horizontal="left"/>
    </xf>
    <xf numFmtId="14" fontId="0" fillId="30" borderId="1" xfId="0" applyNumberFormat="1" applyFill="1" applyBorder="1" applyAlignment="1">
      <alignment horizontal="left"/>
    </xf>
    <xf numFmtId="14" fontId="0" fillId="30" borderId="1" xfId="0" applyNumberFormat="1" applyFill="1" applyBorder="1"/>
    <xf numFmtId="0" fontId="0" fillId="0" borderId="12" xfId="0" applyBorder="1"/>
    <xf numFmtId="0" fontId="0" fillId="26" borderId="11" xfId="0" quotePrefix="1" applyFill="1" applyBorder="1"/>
    <xf numFmtId="0" fontId="9" fillId="3" borderId="0" xfId="0" applyFont="1" applyFill="1"/>
    <xf numFmtId="49" fontId="9" fillId="3" borderId="0" xfId="0" applyNumberFormat="1" applyFont="1" applyFill="1"/>
    <xf numFmtId="17" fontId="0" fillId="0" borderId="0" xfId="0" quotePrefix="1" applyNumberFormat="1"/>
    <xf numFmtId="0" fontId="10" fillId="29" borderId="0" xfId="0" applyFont="1" applyFill="1"/>
    <xf numFmtId="1" fontId="0" fillId="0" borderId="0" xfId="0" applyNumberFormat="1"/>
    <xf numFmtId="0" fontId="0" fillId="0" borderId="13" xfId="0" applyBorder="1"/>
    <xf numFmtId="0" fontId="11" fillId="0" borderId="0" xfId="0" applyFont="1" applyAlignment="1">
      <alignment horizontal="center"/>
    </xf>
    <xf numFmtId="0" fontId="0" fillId="0" borderId="0" xfId="0" quotePrefix="1" applyAlignment="1">
      <alignment horizontal="left"/>
    </xf>
    <xf numFmtId="0" fontId="12" fillId="0" borderId="0" xfId="0" applyFont="1"/>
    <xf numFmtId="0" fontId="13" fillId="0" borderId="0" xfId="0" applyFont="1"/>
    <xf numFmtId="0" fontId="14" fillId="0" borderId="0" xfId="0" applyFont="1"/>
    <xf numFmtId="0" fontId="15" fillId="0" borderId="0" xfId="0" applyFont="1"/>
    <xf numFmtId="0" fontId="16" fillId="0" borderId="0" xfId="0" applyFont="1"/>
    <xf numFmtId="0" fontId="17" fillId="0" borderId="0" xfId="0" applyFont="1"/>
    <xf numFmtId="0" fontId="18" fillId="0" borderId="0" xfId="0" applyFont="1"/>
    <xf numFmtId="0" fontId="19" fillId="0" borderId="0" xfId="0" applyFont="1"/>
    <xf numFmtId="22" fontId="0" fillId="0" borderId="0" xfId="0" applyNumberFormat="1"/>
    <xf numFmtId="21" fontId="0" fillId="0" borderId="0" xfId="0" applyNumberFormat="1"/>
    <xf numFmtId="9" fontId="0" fillId="0" borderId="0" xfId="0" applyNumberFormat="1"/>
    <xf numFmtId="0" fontId="0" fillId="31" borderId="0" xfId="0" applyFill="1"/>
    <xf numFmtId="0" fontId="0" fillId="31" borderId="0" xfId="0" applyFill="1" applyAlignment="1">
      <alignment horizontal="left"/>
    </xf>
    <xf numFmtId="49" fontId="0" fillId="0" borderId="0" xfId="0" quotePrefix="1" applyNumberFormat="1" applyAlignment="1">
      <alignment horizontal="right" wrapText="1"/>
    </xf>
    <xf numFmtId="49" fontId="0" fillId="0" borderId="0" xfId="0" quotePrefix="1" applyNumberFormat="1" applyAlignment="1">
      <alignment horizontal="right"/>
    </xf>
    <xf numFmtId="0" fontId="1" fillId="0" borderId="0" xfId="0" applyFont="1" applyAlignment="1">
      <alignment wrapText="1"/>
    </xf>
    <xf numFmtId="0" fontId="20" fillId="32" borderId="14" xfId="0" applyFont="1" applyFill="1" applyBorder="1" applyAlignment="1">
      <alignment wrapText="1"/>
    </xf>
    <xf numFmtId="0" fontId="20" fillId="33" borderId="15" xfId="0" applyFont="1" applyFill="1" applyBorder="1" applyAlignment="1">
      <alignment wrapText="1"/>
    </xf>
    <xf numFmtId="0" fontId="20" fillId="33" borderId="16" xfId="0" applyFont="1" applyFill="1" applyBorder="1" applyAlignment="1">
      <alignment wrapText="1"/>
    </xf>
    <xf numFmtId="0" fontId="0" fillId="33" borderId="17" xfId="0" applyFill="1" applyBorder="1" applyAlignment="1">
      <alignment wrapText="1"/>
    </xf>
    <xf numFmtId="0" fontId="20" fillId="32" borderId="18" xfId="0" applyFont="1" applyFill="1" applyBorder="1" applyAlignment="1">
      <alignment wrapText="1"/>
    </xf>
    <xf numFmtId="0" fontId="0" fillId="32" borderId="14" xfId="0" applyFill="1" applyBorder="1" applyAlignment="1">
      <alignment wrapText="1"/>
    </xf>
    <xf numFmtId="0" fontId="21" fillId="0" borderId="0" xfId="0" applyFont="1" applyAlignment="1">
      <alignment wrapText="1"/>
    </xf>
    <xf numFmtId="0" fontId="20" fillId="33" borderId="19" xfId="0" applyFont="1" applyFill="1" applyBorder="1" applyAlignment="1">
      <alignment wrapText="1"/>
    </xf>
    <xf numFmtId="0" fontId="0" fillId="33" borderId="19" xfId="0" applyFill="1" applyBorder="1" applyAlignment="1">
      <alignment wrapText="1"/>
    </xf>
    <xf numFmtId="0" fontId="20" fillId="33" borderId="17" xfId="0" applyFont="1" applyFill="1" applyBorder="1" applyAlignment="1">
      <alignment wrapText="1"/>
    </xf>
    <xf numFmtId="0" fontId="9" fillId="3" borderId="0" xfId="0" applyFont="1" applyFill="1" applyAlignment="1">
      <alignment wrapText="1"/>
    </xf>
    <xf numFmtId="0" fontId="22" fillId="0" borderId="0" xfId="0" applyFont="1"/>
    <xf numFmtId="0" fontId="22" fillId="0" borderId="0" xfId="0" applyFont="1" applyAlignment="1">
      <alignment wrapText="1"/>
    </xf>
    <xf numFmtId="0" fontId="23" fillId="0" borderId="0" xfId="0" applyFont="1"/>
    <xf numFmtId="0" fontId="0" fillId="0" borderId="20" xfId="0" applyBorder="1"/>
    <xf numFmtId="0" fontId="0" fillId="0" borderId="21" xfId="0" applyBorder="1"/>
    <xf numFmtId="0" fontId="0" fillId="4" borderId="21" xfId="0" applyFill="1" applyBorder="1"/>
    <xf numFmtId="0" fontId="0" fillId="0" borderId="22" xfId="0" applyBorder="1"/>
    <xf numFmtId="0" fontId="0" fillId="0" borderId="1" xfId="0" applyBorder="1" applyAlignment="1">
      <alignment wrapText="1"/>
    </xf>
    <xf numFmtId="0" fontId="0" fillId="0" borderId="24" xfId="0" applyBorder="1" applyAlignment="1">
      <alignment wrapText="1"/>
    </xf>
    <xf numFmtId="0" fontId="0" fillId="4" borderId="24" xfId="0" applyFill="1" applyBorder="1" applyAlignment="1">
      <alignment wrapText="1"/>
    </xf>
    <xf numFmtId="0" fontId="0" fillId="0" borderId="25" xfId="0" applyBorder="1" applyAlignment="1">
      <alignment wrapText="1"/>
    </xf>
    <xf numFmtId="0" fontId="0" fillId="4" borderId="23" xfId="0" applyFill="1" applyBorder="1" applyAlignment="1">
      <alignment wrapText="1"/>
    </xf>
    <xf numFmtId="0" fontId="24" fillId="0" borderId="0" xfId="1"/>
    <xf numFmtId="0" fontId="25" fillId="34" borderId="26" xfId="0" applyFont="1" applyFill="1" applyBorder="1" applyAlignment="1">
      <alignment wrapText="1"/>
    </xf>
    <xf numFmtId="0" fontId="25" fillId="34" borderId="27" xfId="0" applyFont="1" applyFill="1" applyBorder="1" applyAlignment="1">
      <alignment wrapText="1"/>
    </xf>
    <xf numFmtId="0" fontId="26" fillId="34" borderId="27" xfId="0" applyFont="1" applyFill="1" applyBorder="1" applyAlignment="1">
      <alignment wrapText="1"/>
    </xf>
    <xf numFmtId="0" fontId="27" fillId="35" borderId="28" xfId="0" applyFont="1" applyFill="1" applyBorder="1" applyAlignment="1">
      <alignment wrapText="1"/>
    </xf>
    <xf numFmtId="0" fontId="28" fillId="35" borderId="29" xfId="0" applyFont="1" applyFill="1" applyBorder="1" applyAlignment="1">
      <alignment wrapText="1"/>
    </xf>
    <xf numFmtId="0" fontId="26" fillId="35" borderId="29" xfId="0" applyFont="1" applyFill="1" applyBorder="1" applyAlignment="1">
      <alignment wrapText="1"/>
    </xf>
    <xf numFmtId="0" fontId="27" fillId="36" borderId="28" xfId="0" applyFont="1" applyFill="1" applyBorder="1" applyAlignment="1">
      <alignment wrapText="1"/>
    </xf>
    <xf numFmtId="0" fontId="28" fillId="36" borderId="29" xfId="0" applyFont="1" applyFill="1" applyBorder="1" applyAlignment="1">
      <alignment wrapText="1"/>
    </xf>
    <xf numFmtId="0" fontId="26" fillId="36" borderId="29" xfId="0" applyFont="1" applyFill="1" applyBorder="1" applyAlignment="1">
      <alignment wrapText="1"/>
    </xf>
    <xf numFmtId="0" fontId="26" fillId="35" borderId="29" xfId="0" quotePrefix="1" applyFont="1" applyFill="1" applyBorder="1" applyAlignment="1">
      <alignment wrapText="1"/>
    </xf>
    <xf numFmtId="0" fontId="26" fillId="36" borderId="29" xfId="0" quotePrefix="1" applyFont="1" applyFill="1" applyBorder="1" applyAlignment="1">
      <alignment wrapText="1"/>
    </xf>
    <xf numFmtId="0" fontId="0" fillId="0" borderId="0" xfId="0" applyAlignment="1">
      <alignment horizontal="center"/>
    </xf>
    <xf numFmtId="0" fontId="29" fillId="0" borderId="0" xfId="0" applyFont="1"/>
    <xf numFmtId="0" fontId="30" fillId="0" borderId="0" xfId="0" applyFont="1" applyAlignment="1">
      <alignment wrapText="1"/>
    </xf>
    <xf numFmtId="9" fontId="0" fillId="0" borderId="6" xfId="0" applyNumberFormat="1" applyBorder="1"/>
    <xf numFmtId="0" fontId="0" fillId="3" borderId="2" xfId="0" applyFill="1" applyBorder="1"/>
    <xf numFmtId="0" fontId="0" fillId="3" borderId="3" xfId="0" applyFill="1" applyBorder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3" borderId="7" xfId="0" applyFill="1" applyBorder="1"/>
    <xf numFmtId="0" fontId="0" fillId="3" borderId="8" xfId="0" applyFill="1" applyBorder="1"/>
    <xf numFmtId="0" fontId="0" fillId="3" borderId="9" xfId="0" applyFill="1" applyBorder="1"/>
    <xf numFmtId="0" fontId="7" fillId="0" borderId="0" xfId="0" applyFont="1"/>
    <xf numFmtId="0" fontId="0" fillId="4" borderId="4" xfId="0" applyFill="1" applyBorder="1" applyAlignment="1">
      <alignment wrapText="1"/>
    </xf>
    <xf numFmtId="0" fontId="0" fillId="4" borderId="6" xfId="0" applyFill="1" applyBorder="1" applyAlignment="1">
      <alignment wrapText="1"/>
    </xf>
    <xf numFmtId="0" fontId="0" fillId="0" borderId="6" xfId="0" applyBorder="1" applyAlignment="1">
      <alignment wrapText="1"/>
    </xf>
    <xf numFmtId="0" fontId="0" fillId="0" borderId="9" xfId="0" applyBorder="1" applyAlignment="1">
      <alignment wrapText="1"/>
    </xf>
    <xf numFmtId="0" fontId="31" fillId="36" borderId="29" xfId="0" applyFont="1" applyFill="1" applyBorder="1" applyAlignment="1">
      <alignment wrapText="1"/>
    </xf>
    <xf numFmtId="0" fontId="26" fillId="36" borderId="29" xfId="0" applyFont="1" applyFill="1" applyBorder="1" applyAlignment="1">
      <alignment horizontal="left" wrapText="1"/>
    </xf>
    <xf numFmtId="0" fontId="0" fillId="0" borderId="8" xfId="0" applyBorder="1" applyAlignment="1">
      <alignment wrapText="1"/>
    </xf>
    <xf numFmtId="0" fontId="26" fillId="31" borderId="29" xfId="0" applyFont="1" applyFill="1" applyBorder="1" applyAlignment="1">
      <alignment wrapText="1"/>
    </xf>
    <xf numFmtId="0" fontId="27" fillId="31" borderId="28" xfId="0" applyFont="1" applyFill="1" applyBorder="1" applyAlignment="1">
      <alignment wrapText="1"/>
    </xf>
    <xf numFmtId="0" fontId="28" fillId="31" borderId="29" xfId="0" applyFont="1" applyFill="1" applyBorder="1" applyAlignment="1">
      <alignment wrapText="1"/>
    </xf>
    <xf numFmtId="0" fontId="0" fillId="31" borderId="0" xfId="0" quotePrefix="1" applyFill="1"/>
    <xf numFmtId="0" fontId="29" fillId="31" borderId="0" xfId="0" applyFont="1" applyFill="1"/>
    <xf numFmtId="0" fontId="30" fillId="31" borderId="0" xfId="0" applyFont="1" applyFill="1" applyAlignment="1">
      <alignment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1" fillId="0" borderId="0" xfId="0" applyFont="1" applyAlignment="1">
      <alignment horizontal="center"/>
    </xf>
    <xf numFmtId="0" fontId="0" fillId="0" borderId="6" xfId="0" applyBorder="1" applyAlignment="1">
      <alignment horizontal="center"/>
    </xf>
    <xf numFmtId="0" fontId="1" fillId="0" borderId="0" xfId="0" applyFont="1" applyAlignment="1">
      <alignment horizontal="left"/>
    </xf>
  </cellXfs>
  <cellStyles count="2">
    <cellStyle name="Hyperlink" xfId="1" xr:uid="{00000000-000B-0000-0000-000008000000}"/>
    <cellStyle name="Normal" xfId="0" builtinId="0"/>
  </cellStyles>
  <dxfs count="191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0070C0"/>
      </font>
    </dxf>
    <dxf>
      <font>
        <color rgb="FFCC79A7"/>
      </font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99D3F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b/>
        <i/>
        <color theme="1" tint="0.499984740745262"/>
      </font>
    </dxf>
    <dxf>
      <font>
        <b/>
        <i/>
        <color theme="1" tint="0.499984740745262"/>
      </font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theme="1" tint="0.49998474074526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0006"/>
      </font>
      <fill>
        <patternFill patternType="solid">
          <bgColor rgb="FFFF9D4D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006100"/>
      </font>
      <fill>
        <patternFill patternType="solid">
          <bgColor rgb="FF009E73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theme="0"/>
      </font>
      <fill>
        <patternFill patternType="solid">
          <bgColor theme="1" tint="0.34998626667073579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  <dxf>
      <font>
        <color rgb="FF9C5700"/>
      </font>
      <fill>
        <patternFill patternType="solid">
          <bgColor rgb="FFF0E442"/>
        </patternFill>
      </fill>
    </dxf>
  </dxfs>
  <tableStyles count="0" defaultTableStyle="TableStyleMedium2" defaultPivotStyle="PivotStyleMedium9"/>
  <colors>
    <mruColors>
      <color rgb="FFFF9D4D"/>
      <color rgb="FFCC79A7"/>
      <color rgb="FF99D3F2"/>
      <color rgb="FFF0E442"/>
      <color rgb="FF009E73"/>
      <color rgb="FF56B4E9"/>
      <color rgb="FF2E2E2E"/>
      <color rgb="FF9B3B70"/>
      <color rgb="FFE3B7CF"/>
      <color rgb="FFD55E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17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Wong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E69F00"/>
      </a:accent1>
      <a:accent2>
        <a:srgbClr val="56B4E9"/>
      </a:accent2>
      <a:accent3>
        <a:srgbClr val="009E73"/>
      </a:accent3>
      <a:accent4>
        <a:srgbClr val="F0E442"/>
      </a:accent4>
      <a:accent5>
        <a:srgbClr val="0072B2"/>
      </a:accent5>
      <a:accent6>
        <a:srgbClr val="D55E00"/>
      </a:accent6>
      <a:hlink>
        <a:srgbClr val="467886"/>
      </a:hlink>
      <a:folHlink>
        <a:srgbClr val="CC79A7"/>
      </a:folHlink>
    </a:clrScheme>
    <a:fontScheme name="Office">
      <a:majorFont>
        <a:latin typeface="Aptos Display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browser.ihtsdotools.org/?perspective=full&amp;conceptId1=608051000005103&amp;edition=MAIN/SNOMEDCT-DK/2025-03-31&amp;release=&amp;languages=da,en" TargetMode="External"/></Relationships>
</file>

<file path=xl/worksheets/_rels/sheet7.xml.rels><?xml version="1.0" encoding="UTF-8" standalone="yes"?>
<Relationships xmlns="http://schemas.openxmlformats.org/package/2006/relationships"><Relationship Id="rId117" Type="http://schemas.openxmlformats.org/officeDocument/2006/relationships/hyperlink" Target="https://da.wikipedia.org/wiki/Nederlandsk_(sprog)" TargetMode="External"/><Relationship Id="rId21" Type="http://schemas.openxmlformats.org/officeDocument/2006/relationships/hyperlink" Target="https://da.wikipedia.org/wiki/Bretonsk" TargetMode="External"/><Relationship Id="rId42" Type="http://schemas.openxmlformats.org/officeDocument/2006/relationships/hyperlink" Target="https://da.wikipedia.org/wiki/Baskisk" TargetMode="External"/><Relationship Id="rId63" Type="http://schemas.openxmlformats.org/officeDocument/2006/relationships/hyperlink" Target="https://da.wikipedia.org/wiki/Armensk" TargetMode="External"/><Relationship Id="rId84" Type="http://schemas.openxmlformats.org/officeDocument/2006/relationships/hyperlink" Target="https://da.wikipedia.org/wiki/Kannada" TargetMode="External"/><Relationship Id="rId138" Type="http://schemas.openxmlformats.org/officeDocument/2006/relationships/hyperlink" Target="https://da.wikipedia.org/wiki/Kinyarwanda" TargetMode="External"/><Relationship Id="rId159" Type="http://schemas.openxmlformats.org/officeDocument/2006/relationships/hyperlink" Target="https://da.wikipedia.org/wiki/Telugu" TargetMode="External"/><Relationship Id="rId170" Type="http://schemas.openxmlformats.org/officeDocument/2006/relationships/hyperlink" Target="https://da.wikipedia.org/wiki/Twi" TargetMode="External"/><Relationship Id="rId107" Type="http://schemas.openxmlformats.org/officeDocument/2006/relationships/hyperlink" Target="https://da.wikipedia.org/w/index.php?title=Moldovisk&amp;action=edit&amp;redlink=1" TargetMode="External"/><Relationship Id="rId11" Type="http://schemas.openxmlformats.org/officeDocument/2006/relationships/hyperlink" Target="https://da.wikipedia.org/wiki/Aymara_(sprog)" TargetMode="External"/><Relationship Id="rId32" Type="http://schemas.openxmlformats.org/officeDocument/2006/relationships/hyperlink" Target="https://da.wikipedia.org/wiki/Dansk_(sprog)" TargetMode="External"/><Relationship Id="rId53" Type="http://schemas.openxmlformats.org/officeDocument/2006/relationships/hyperlink" Target="https://da.wikipedia.org/wiki/Guarani_(sprog)" TargetMode="External"/><Relationship Id="rId74" Type="http://schemas.openxmlformats.org/officeDocument/2006/relationships/hyperlink" Target="https://da.wikipedia.org/w/index.php?title=Inuittisk&amp;action=edit&amp;redlink=1" TargetMode="External"/><Relationship Id="rId128" Type="http://schemas.openxmlformats.org/officeDocument/2006/relationships/hyperlink" Target="https://da.wikipedia.org/wiki/Punjabi" TargetMode="External"/><Relationship Id="rId149" Type="http://schemas.openxmlformats.org/officeDocument/2006/relationships/hyperlink" Target="https://da.wikipedia.org/w/index.php?title=Shona_(sprog)&amp;action=edit&amp;redlink=1" TargetMode="External"/><Relationship Id="rId5" Type="http://schemas.openxmlformats.org/officeDocument/2006/relationships/hyperlink" Target="https://da.wikipedia.org/w/index.php?title=Akan_(sprog)&amp;action=edit&amp;redlink=1" TargetMode="External"/><Relationship Id="rId95" Type="http://schemas.openxmlformats.org/officeDocument/2006/relationships/hyperlink" Target="https://da.wikipedia.org/w/index.php?title=Limburgisk&amp;action=edit&amp;redlink=1" TargetMode="External"/><Relationship Id="rId160" Type="http://schemas.openxmlformats.org/officeDocument/2006/relationships/hyperlink" Target="https://da.wikipedia.org/w/index.php?title=Tadtjikkisk&amp;action=edit&amp;redlink=1" TargetMode="External"/><Relationship Id="rId181" Type="http://schemas.openxmlformats.org/officeDocument/2006/relationships/hyperlink" Target="https://da.wikipedia.org/wiki/Xhosa_(sprog)" TargetMode="External"/><Relationship Id="rId22" Type="http://schemas.openxmlformats.org/officeDocument/2006/relationships/hyperlink" Target="https://da.wikipedia.org/wiki/Bosnisk" TargetMode="External"/><Relationship Id="rId43" Type="http://schemas.openxmlformats.org/officeDocument/2006/relationships/hyperlink" Target="https://da.wikipedia.org/wiki/Persisk" TargetMode="External"/><Relationship Id="rId64" Type="http://schemas.openxmlformats.org/officeDocument/2006/relationships/hyperlink" Target="https://da.wikipedia.org/w/index.php?title=Herero_(sprog)&amp;action=edit&amp;redlink=1" TargetMode="External"/><Relationship Id="rId118" Type="http://schemas.openxmlformats.org/officeDocument/2006/relationships/hyperlink" Target="https://da.wikipedia.org/wiki/Nynorsk" TargetMode="External"/><Relationship Id="rId139" Type="http://schemas.openxmlformats.org/officeDocument/2006/relationships/hyperlink" Target="https://da.wikipedia.org/wiki/Sanskrit" TargetMode="External"/><Relationship Id="rId85" Type="http://schemas.openxmlformats.org/officeDocument/2006/relationships/hyperlink" Target="https://da.wikipedia.org/wiki/Koreansk" TargetMode="External"/><Relationship Id="rId150" Type="http://schemas.openxmlformats.org/officeDocument/2006/relationships/hyperlink" Target="https://da.wikipedia.org/wiki/Somali_(sprog)" TargetMode="External"/><Relationship Id="rId171" Type="http://schemas.openxmlformats.org/officeDocument/2006/relationships/hyperlink" Target="https://da.wikipedia.org/w/index.php?title=Tahitisk&amp;action=edit&amp;redlink=1" TargetMode="External"/><Relationship Id="rId12" Type="http://schemas.openxmlformats.org/officeDocument/2006/relationships/hyperlink" Target="https://da.wikipedia.org/wiki/Aserbajdsjansk" TargetMode="External"/><Relationship Id="rId33" Type="http://schemas.openxmlformats.org/officeDocument/2006/relationships/hyperlink" Target="https://da.wikipedia.org/wiki/Tysk_(sprog)" TargetMode="External"/><Relationship Id="rId108" Type="http://schemas.openxmlformats.org/officeDocument/2006/relationships/hyperlink" Target="https://da.wikipedia.org/wiki/Marathi" TargetMode="External"/><Relationship Id="rId129" Type="http://schemas.openxmlformats.org/officeDocument/2006/relationships/hyperlink" Target="https://da.wikipedia.org/wiki/Pali" TargetMode="External"/><Relationship Id="rId54" Type="http://schemas.openxmlformats.org/officeDocument/2006/relationships/hyperlink" Target="https://da.wikipedia.org/wiki/Gujarati" TargetMode="External"/><Relationship Id="rId75" Type="http://schemas.openxmlformats.org/officeDocument/2006/relationships/hyperlink" Target="https://da.wikipedia.org/wiki/Japansk" TargetMode="External"/><Relationship Id="rId96" Type="http://schemas.openxmlformats.org/officeDocument/2006/relationships/hyperlink" Target="https://da.wikipedia.org/w/index.php?title=Lingala_(sprog)&amp;action=edit&amp;redlink=1" TargetMode="External"/><Relationship Id="rId140" Type="http://schemas.openxmlformats.org/officeDocument/2006/relationships/hyperlink" Target="https://da.wikipedia.org/wiki/Sardisk_(sprog)" TargetMode="External"/><Relationship Id="rId161" Type="http://schemas.openxmlformats.org/officeDocument/2006/relationships/hyperlink" Target="https://da.wikipedia.org/wiki/Thai_(sprog)" TargetMode="External"/><Relationship Id="rId182" Type="http://schemas.openxmlformats.org/officeDocument/2006/relationships/hyperlink" Target="https://da.wikipedia.org/wiki/Jiddisch" TargetMode="External"/><Relationship Id="rId6" Type="http://schemas.openxmlformats.org/officeDocument/2006/relationships/hyperlink" Target="https://da.wikipedia.org/wiki/Amharisk" TargetMode="External"/><Relationship Id="rId23" Type="http://schemas.openxmlformats.org/officeDocument/2006/relationships/hyperlink" Target="https://da.wikipedia.org/wiki/Katalansk" TargetMode="External"/><Relationship Id="rId119" Type="http://schemas.openxmlformats.org/officeDocument/2006/relationships/hyperlink" Target="https://da.wikipedia.org/wiki/Norsk_(sprog)" TargetMode="External"/><Relationship Id="rId44" Type="http://schemas.openxmlformats.org/officeDocument/2006/relationships/hyperlink" Target="https://da.wikipedia.org/w/index.php?title=Fulfulde&amp;action=edit&amp;redlink=1" TargetMode="External"/><Relationship Id="rId65" Type="http://schemas.openxmlformats.org/officeDocument/2006/relationships/hyperlink" Target="https://da.wikipedia.org/w/index.php?title=Interlingua&amp;action=edit&amp;redlink=1" TargetMode="External"/><Relationship Id="rId86" Type="http://schemas.openxmlformats.org/officeDocument/2006/relationships/hyperlink" Target="https://da.wikipedia.org/w/index.php?title=Kanuri_(sprog)&amp;action=edit&amp;redlink=1" TargetMode="External"/><Relationship Id="rId130" Type="http://schemas.openxmlformats.org/officeDocument/2006/relationships/hyperlink" Target="https://da.wikipedia.org/wiki/Polsk_(sprog)" TargetMode="External"/><Relationship Id="rId151" Type="http://schemas.openxmlformats.org/officeDocument/2006/relationships/hyperlink" Target="https://da.wikipedia.org/wiki/Albansk" TargetMode="External"/><Relationship Id="rId172" Type="http://schemas.openxmlformats.org/officeDocument/2006/relationships/hyperlink" Target="https://da.wikipedia.org/w/index.php?title=Uighur_(sprog)&amp;action=edit&amp;redlink=1" TargetMode="External"/><Relationship Id="rId13" Type="http://schemas.openxmlformats.org/officeDocument/2006/relationships/hyperlink" Target="https://da.wikipedia.org/wiki/Basjkirsk_(sprog)" TargetMode="External"/><Relationship Id="rId18" Type="http://schemas.openxmlformats.org/officeDocument/2006/relationships/hyperlink" Target="https://da.wikipedia.org/w/index.php?title=Bambara_(sprog)&amp;action=edit&amp;redlink=1" TargetMode="External"/><Relationship Id="rId39" Type="http://schemas.openxmlformats.org/officeDocument/2006/relationships/hyperlink" Target="https://da.wikipedia.org/wiki/Esperanto" TargetMode="External"/><Relationship Id="rId109" Type="http://schemas.openxmlformats.org/officeDocument/2006/relationships/hyperlink" Target="https://da.wikipedia.org/wiki/Malajisk" TargetMode="External"/><Relationship Id="rId34" Type="http://schemas.openxmlformats.org/officeDocument/2006/relationships/hyperlink" Target="https://da.wikipedia.org/wiki/Dhivehi" TargetMode="External"/><Relationship Id="rId50" Type="http://schemas.openxmlformats.org/officeDocument/2006/relationships/hyperlink" Target="https://da.wikipedia.org/wiki/Irsk_(sprog)" TargetMode="External"/><Relationship Id="rId55" Type="http://schemas.openxmlformats.org/officeDocument/2006/relationships/hyperlink" Target="https://da.wikipedia.org/w/index.php?title=Mansk&amp;action=edit&amp;redlink=1" TargetMode="External"/><Relationship Id="rId76" Type="http://schemas.openxmlformats.org/officeDocument/2006/relationships/hyperlink" Target="https://da.wikipedia.org/wiki/Javanesisk_(sprog)" TargetMode="External"/><Relationship Id="rId97" Type="http://schemas.openxmlformats.org/officeDocument/2006/relationships/hyperlink" Target="https://da.wikipedia.org/w/index.php?title=Laotisk&amp;action=edit&amp;redlink=1" TargetMode="External"/><Relationship Id="rId104" Type="http://schemas.openxmlformats.org/officeDocument/2006/relationships/hyperlink" Target="https://da.wikipedia.org/wiki/Makedonsk_(sprog)" TargetMode="External"/><Relationship Id="rId120" Type="http://schemas.openxmlformats.org/officeDocument/2006/relationships/hyperlink" Target="https://da.wikipedia.org/w/index.php?title=Syd-ndebele&amp;action=edit&amp;redlink=1" TargetMode="External"/><Relationship Id="rId125" Type="http://schemas.openxmlformats.org/officeDocument/2006/relationships/hyperlink" Target="https://da.wikipedia.org/wiki/Oromo_(sprog)" TargetMode="External"/><Relationship Id="rId141" Type="http://schemas.openxmlformats.org/officeDocument/2006/relationships/hyperlink" Target="https://da.wikipedia.org/wiki/Sindhi" TargetMode="External"/><Relationship Id="rId146" Type="http://schemas.openxmlformats.org/officeDocument/2006/relationships/hyperlink" Target="https://da.wikipedia.org/wiki/Slovakisk" TargetMode="External"/><Relationship Id="rId167" Type="http://schemas.openxmlformats.org/officeDocument/2006/relationships/hyperlink" Target="https://da.wikipedia.org/wiki/Tyrkisk_(sprog)" TargetMode="External"/><Relationship Id="rId7" Type="http://schemas.openxmlformats.org/officeDocument/2006/relationships/hyperlink" Target="https://da.wikipedia.org/wiki/Aragonisk_(sprog)" TargetMode="External"/><Relationship Id="rId71" Type="http://schemas.openxmlformats.org/officeDocument/2006/relationships/hyperlink" Target="https://da.wikipedia.org/wiki/Ido" TargetMode="External"/><Relationship Id="rId92" Type="http://schemas.openxmlformats.org/officeDocument/2006/relationships/hyperlink" Target="https://da.wikipedia.org/wiki/Latin" TargetMode="External"/><Relationship Id="rId162" Type="http://schemas.openxmlformats.org/officeDocument/2006/relationships/hyperlink" Target="https://da.wikipedia.org/w/index.php?title=Tigrinya&amp;action=edit&amp;redlink=1" TargetMode="External"/><Relationship Id="rId183" Type="http://schemas.openxmlformats.org/officeDocument/2006/relationships/hyperlink" Target="https://da.wikipedia.org/w/index.php?title=Yoruba_(sprog)&amp;action=edit&amp;redlink=1" TargetMode="External"/><Relationship Id="rId2" Type="http://schemas.openxmlformats.org/officeDocument/2006/relationships/hyperlink" Target="https://da.wikipedia.org/w/index.php?title=Abkhasisk_(sprog)&amp;action=edit&amp;redlink=1" TargetMode="External"/><Relationship Id="rId29" Type="http://schemas.openxmlformats.org/officeDocument/2006/relationships/hyperlink" Target="https://da.wikipedia.org/wiki/Kirkeslavisk" TargetMode="External"/><Relationship Id="rId24" Type="http://schemas.openxmlformats.org/officeDocument/2006/relationships/hyperlink" Target="https://da.wikipedia.org/wiki/Tjetjensk" TargetMode="External"/><Relationship Id="rId40" Type="http://schemas.openxmlformats.org/officeDocument/2006/relationships/hyperlink" Target="https://da.wikipedia.org/wiki/Spansk_(sprog)" TargetMode="External"/><Relationship Id="rId45" Type="http://schemas.openxmlformats.org/officeDocument/2006/relationships/hyperlink" Target="https://da.wikipedia.org/wiki/Finsk_(sprog)" TargetMode="External"/><Relationship Id="rId66" Type="http://schemas.openxmlformats.org/officeDocument/2006/relationships/hyperlink" Target="https://da.wikipedia.org/wiki/Indonesisk_(sprog)" TargetMode="External"/><Relationship Id="rId87" Type="http://schemas.openxmlformats.org/officeDocument/2006/relationships/hyperlink" Target="https://da.wikipedia.org/wiki/Kashmirisk_(sprog)" TargetMode="External"/><Relationship Id="rId110" Type="http://schemas.openxmlformats.org/officeDocument/2006/relationships/hyperlink" Target="https://da.wikipedia.org/wiki/Maltesisk" TargetMode="External"/><Relationship Id="rId115" Type="http://schemas.openxmlformats.org/officeDocument/2006/relationships/hyperlink" Target="https://da.wikipedia.org/wiki/Nepali" TargetMode="External"/><Relationship Id="rId131" Type="http://schemas.openxmlformats.org/officeDocument/2006/relationships/hyperlink" Target="https://da.wikipedia.org/wiki/Pashto_(sprog)" TargetMode="External"/><Relationship Id="rId136" Type="http://schemas.openxmlformats.org/officeDocument/2006/relationships/hyperlink" Target="https://da.wikipedia.org/wiki/Rum%C3%A6nsk" TargetMode="External"/><Relationship Id="rId157" Type="http://schemas.openxmlformats.org/officeDocument/2006/relationships/hyperlink" Target="https://da.wikipedia.org/wiki/Swahili_(sprog)" TargetMode="External"/><Relationship Id="rId178" Type="http://schemas.openxmlformats.org/officeDocument/2006/relationships/hyperlink" Target="https://da.wikipedia.org/wiki/Volap%C3%BCk_(sprog)" TargetMode="External"/><Relationship Id="rId61" Type="http://schemas.openxmlformats.org/officeDocument/2006/relationships/hyperlink" Target="https://da.wikipedia.org/w/index.php?title=Haitisk_kreolsk&amp;action=edit&amp;redlink=1" TargetMode="External"/><Relationship Id="rId82" Type="http://schemas.openxmlformats.org/officeDocument/2006/relationships/hyperlink" Target="https://da.wikipedia.org/wiki/Kalaallisut" TargetMode="External"/><Relationship Id="rId152" Type="http://schemas.openxmlformats.org/officeDocument/2006/relationships/hyperlink" Target="https://da.wikipedia.org/wiki/Serbisk" TargetMode="External"/><Relationship Id="rId173" Type="http://schemas.openxmlformats.org/officeDocument/2006/relationships/hyperlink" Target="https://da.wikipedia.org/wiki/Ukrainsk" TargetMode="External"/><Relationship Id="rId19" Type="http://schemas.openxmlformats.org/officeDocument/2006/relationships/hyperlink" Target="https://da.wikipedia.org/wiki/Bengali" TargetMode="External"/><Relationship Id="rId14" Type="http://schemas.openxmlformats.org/officeDocument/2006/relationships/hyperlink" Target="https://da.wikipedia.org/wiki/Hviderussisk" TargetMode="External"/><Relationship Id="rId30" Type="http://schemas.openxmlformats.org/officeDocument/2006/relationships/hyperlink" Target="https://da.wikipedia.org/w/index.php?title=Tsjuvansk&amp;action=edit&amp;redlink=1" TargetMode="External"/><Relationship Id="rId35" Type="http://schemas.openxmlformats.org/officeDocument/2006/relationships/hyperlink" Target="https://da.wikipedia.org/wiki/Dzongkha" TargetMode="External"/><Relationship Id="rId56" Type="http://schemas.openxmlformats.org/officeDocument/2006/relationships/hyperlink" Target="https://da.wikipedia.org/wiki/Hausa" TargetMode="External"/><Relationship Id="rId77" Type="http://schemas.openxmlformats.org/officeDocument/2006/relationships/hyperlink" Target="https://da.wikipedia.org/wiki/Georgisk" TargetMode="External"/><Relationship Id="rId100" Type="http://schemas.openxmlformats.org/officeDocument/2006/relationships/hyperlink" Target="https://da.wikipedia.org/wiki/Lettisk_(sprog)" TargetMode="External"/><Relationship Id="rId105" Type="http://schemas.openxmlformats.org/officeDocument/2006/relationships/hyperlink" Target="https://da.wikipedia.org/wiki/Malayalam_(sprog)" TargetMode="External"/><Relationship Id="rId126" Type="http://schemas.openxmlformats.org/officeDocument/2006/relationships/hyperlink" Target="https://da.wikipedia.org/wiki/Oriya_(sprog)" TargetMode="External"/><Relationship Id="rId147" Type="http://schemas.openxmlformats.org/officeDocument/2006/relationships/hyperlink" Target="https://da.wikipedia.org/wiki/Slovensk_(sprog)" TargetMode="External"/><Relationship Id="rId168" Type="http://schemas.openxmlformats.org/officeDocument/2006/relationships/hyperlink" Target="https://da.wikipedia.org/wiki/Tsonga_(sprog)" TargetMode="External"/><Relationship Id="rId8" Type="http://schemas.openxmlformats.org/officeDocument/2006/relationships/hyperlink" Target="https://da.wikipedia.org/wiki/Arabisk_(sprog)" TargetMode="External"/><Relationship Id="rId51" Type="http://schemas.openxmlformats.org/officeDocument/2006/relationships/hyperlink" Target="https://da.wikipedia.org/wiki/Skotsk_g%C3%A6lisk" TargetMode="External"/><Relationship Id="rId72" Type="http://schemas.openxmlformats.org/officeDocument/2006/relationships/hyperlink" Target="https://da.wikipedia.org/wiki/Islandsk_(sprog)" TargetMode="External"/><Relationship Id="rId93" Type="http://schemas.openxmlformats.org/officeDocument/2006/relationships/hyperlink" Target="https://da.wikipedia.org/wiki/Letzeburgsk" TargetMode="External"/><Relationship Id="rId98" Type="http://schemas.openxmlformats.org/officeDocument/2006/relationships/hyperlink" Target="https://da.wikipedia.org/wiki/Litauisk" TargetMode="External"/><Relationship Id="rId121" Type="http://schemas.openxmlformats.org/officeDocument/2006/relationships/hyperlink" Target="https://da.wikipedia.org/w/index.php?title=Navajo_(sprog)&amp;action=edit&amp;redlink=1" TargetMode="External"/><Relationship Id="rId142" Type="http://schemas.openxmlformats.org/officeDocument/2006/relationships/hyperlink" Target="https://da.wikipedia.org/wiki/Nordsamisk" TargetMode="External"/><Relationship Id="rId163" Type="http://schemas.openxmlformats.org/officeDocument/2006/relationships/hyperlink" Target="https://da.wikipedia.org/wiki/Turkmensk_(sprog)" TargetMode="External"/><Relationship Id="rId184" Type="http://schemas.openxmlformats.org/officeDocument/2006/relationships/hyperlink" Target="https://da.wikipedia.org/w/index.php?title=Zhuang_(sprog)&amp;action=edit&amp;redlink=1" TargetMode="External"/><Relationship Id="rId3" Type="http://schemas.openxmlformats.org/officeDocument/2006/relationships/hyperlink" Target="https://da.wikipedia.org/wiki/Avestisk" TargetMode="External"/><Relationship Id="rId25" Type="http://schemas.openxmlformats.org/officeDocument/2006/relationships/hyperlink" Target="https://da.wikipedia.org/w/index.php?title=Chamorro&amp;action=edit&amp;redlink=1" TargetMode="External"/><Relationship Id="rId46" Type="http://schemas.openxmlformats.org/officeDocument/2006/relationships/hyperlink" Target="https://da.wikipedia.org/w/index.php?title=Fijisk&amp;action=edit&amp;redlink=1" TargetMode="External"/><Relationship Id="rId67" Type="http://schemas.openxmlformats.org/officeDocument/2006/relationships/hyperlink" Target="https://da.wikipedia.org/wiki/Interlingue" TargetMode="External"/><Relationship Id="rId116" Type="http://schemas.openxmlformats.org/officeDocument/2006/relationships/hyperlink" Target="https://da.wikipedia.org/w/index.php?title=Ndonga&amp;action=edit&amp;redlink=1" TargetMode="External"/><Relationship Id="rId137" Type="http://schemas.openxmlformats.org/officeDocument/2006/relationships/hyperlink" Target="https://da.wikipedia.org/wiki/Russisk_(sprog)" TargetMode="External"/><Relationship Id="rId158" Type="http://schemas.openxmlformats.org/officeDocument/2006/relationships/hyperlink" Target="https://da.wikipedia.org/wiki/Tamilsk" TargetMode="External"/><Relationship Id="rId20" Type="http://schemas.openxmlformats.org/officeDocument/2006/relationships/hyperlink" Target="https://da.wikipedia.org/wiki/Tibetansk" TargetMode="External"/><Relationship Id="rId41" Type="http://schemas.openxmlformats.org/officeDocument/2006/relationships/hyperlink" Target="https://da.wikipedia.org/wiki/Estisk" TargetMode="External"/><Relationship Id="rId62" Type="http://schemas.openxmlformats.org/officeDocument/2006/relationships/hyperlink" Target="https://da.wikipedia.org/wiki/Ungarsk" TargetMode="External"/><Relationship Id="rId83" Type="http://schemas.openxmlformats.org/officeDocument/2006/relationships/hyperlink" Target="https://da.wikipedia.org/wiki/Khmer_(sprog)" TargetMode="External"/><Relationship Id="rId88" Type="http://schemas.openxmlformats.org/officeDocument/2006/relationships/hyperlink" Target="https://da.wikipedia.org/wiki/Kurdisk_(sprog)" TargetMode="External"/><Relationship Id="rId111" Type="http://schemas.openxmlformats.org/officeDocument/2006/relationships/hyperlink" Target="https://da.wikipedia.org/wiki/Burmesisk" TargetMode="External"/><Relationship Id="rId132" Type="http://schemas.openxmlformats.org/officeDocument/2006/relationships/hyperlink" Target="https://da.wikipedia.org/wiki/Portugisisk_(sprog)" TargetMode="External"/><Relationship Id="rId153" Type="http://schemas.openxmlformats.org/officeDocument/2006/relationships/hyperlink" Target="https://da.wikipedia.org/w/index.php?title=Swati_(sprog)&amp;action=edit&amp;redlink=1" TargetMode="External"/><Relationship Id="rId174" Type="http://schemas.openxmlformats.org/officeDocument/2006/relationships/hyperlink" Target="https://da.wikipedia.org/wiki/Urdu" TargetMode="External"/><Relationship Id="rId179" Type="http://schemas.openxmlformats.org/officeDocument/2006/relationships/hyperlink" Target="https://da.wikipedia.org/wiki/Vallonsk" TargetMode="External"/><Relationship Id="rId15" Type="http://schemas.openxmlformats.org/officeDocument/2006/relationships/hyperlink" Target="https://da.wikipedia.org/wiki/Bulgarsk" TargetMode="External"/><Relationship Id="rId36" Type="http://schemas.openxmlformats.org/officeDocument/2006/relationships/hyperlink" Target="https://da.wikipedia.org/wiki/Ewe" TargetMode="External"/><Relationship Id="rId57" Type="http://schemas.openxmlformats.org/officeDocument/2006/relationships/hyperlink" Target="https://da.wikipedia.org/wiki/Hebraisk" TargetMode="External"/><Relationship Id="rId106" Type="http://schemas.openxmlformats.org/officeDocument/2006/relationships/hyperlink" Target="https://da.wikipedia.org/wiki/Mongolsk" TargetMode="External"/><Relationship Id="rId127" Type="http://schemas.openxmlformats.org/officeDocument/2006/relationships/hyperlink" Target="https://da.wikipedia.org/wiki/Ossetisk" TargetMode="External"/><Relationship Id="rId10" Type="http://schemas.openxmlformats.org/officeDocument/2006/relationships/hyperlink" Target="https://da.wikipedia.org/w/index.php?title=Avarisk&amp;action=edit&amp;redlink=1" TargetMode="External"/><Relationship Id="rId31" Type="http://schemas.openxmlformats.org/officeDocument/2006/relationships/hyperlink" Target="https://da.wikipedia.org/wiki/Walisisk" TargetMode="External"/><Relationship Id="rId52" Type="http://schemas.openxmlformats.org/officeDocument/2006/relationships/hyperlink" Target="https://da.wikipedia.org/wiki/Galicisk_(sprog)" TargetMode="External"/><Relationship Id="rId73" Type="http://schemas.openxmlformats.org/officeDocument/2006/relationships/hyperlink" Target="https://da.wikipedia.org/wiki/Italiensk_(sprog)" TargetMode="External"/><Relationship Id="rId78" Type="http://schemas.openxmlformats.org/officeDocument/2006/relationships/hyperlink" Target="https://da.wikipedia.org/w/index.php?title=Congolesisk&amp;action=edit&amp;redlink=1" TargetMode="External"/><Relationship Id="rId94" Type="http://schemas.openxmlformats.org/officeDocument/2006/relationships/hyperlink" Target="https://da.wikipedia.org/w/index.php?title=Luganda_(sprog)&amp;action=edit&amp;redlink=1" TargetMode="External"/><Relationship Id="rId99" Type="http://schemas.openxmlformats.org/officeDocument/2006/relationships/hyperlink" Target="https://da.wikipedia.org/w/index.php?title=Luba-Katanga&amp;action=edit&amp;redlink=1" TargetMode="External"/><Relationship Id="rId101" Type="http://schemas.openxmlformats.org/officeDocument/2006/relationships/hyperlink" Target="https://da.wikipedia.org/w/index.php?title=Gassisk&amp;action=edit&amp;redlink=1" TargetMode="External"/><Relationship Id="rId122" Type="http://schemas.openxmlformats.org/officeDocument/2006/relationships/hyperlink" Target="https://da.wikipedia.org/wiki/Chichewa" TargetMode="External"/><Relationship Id="rId143" Type="http://schemas.openxmlformats.org/officeDocument/2006/relationships/hyperlink" Target="https://da.wikipedia.org/w/index.php?title=Sango_(sprog)&amp;action=edit&amp;redlink=1" TargetMode="External"/><Relationship Id="rId148" Type="http://schemas.openxmlformats.org/officeDocument/2006/relationships/hyperlink" Target="https://da.wikipedia.org/w/index.php?title=Samoansk&amp;action=edit&amp;redlink=1" TargetMode="External"/><Relationship Id="rId164" Type="http://schemas.openxmlformats.org/officeDocument/2006/relationships/hyperlink" Target="https://da.wikipedia.org/w/index.php?title=Tagalog_(sprog)&amp;action=edit&amp;redlink=1" TargetMode="External"/><Relationship Id="rId169" Type="http://schemas.openxmlformats.org/officeDocument/2006/relationships/hyperlink" Target="https://da.wikipedia.org/w/index.php?title=Tatarsk&amp;action=edit&amp;redlink=1" TargetMode="External"/><Relationship Id="rId185" Type="http://schemas.openxmlformats.org/officeDocument/2006/relationships/hyperlink" Target="https://da.wikipedia.org/wiki/Standard_mandarin" TargetMode="External"/><Relationship Id="rId4" Type="http://schemas.openxmlformats.org/officeDocument/2006/relationships/hyperlink" Target="https://da.wikipedia.org/wiki/Afrikaans" TargetMode="External"/><Relationship Id="rId9" Type="http://schemas.openxmlformats.org/officeDocument/2006/relationships/hyperlink" Target="https://da.wikipedia.org/wiki/Assamesisk" TargetMode="External"/><Relationship Id="rId180" Type="http://schemas.openxmlformats.org/officeDocument/2006/relationships/hyperlink" Target="https://da.wikipedia.org/wiki/Wolof_(sprog)" TargetMode="External"/><Relationship Id="rId26" Type="http://schemas.openxmlformats.org/officeDocument/2006/relationships/hyperlink" Target="https://da.wikipedia.org/wiki/Korsikansk_(sprog)" TargetMode="External"/><Relationship Id="rId47" Type="http://schemas.openxmlformats.org/officeDocument/2006/relationships/hyperlink" Target="https://da.wikipedia.org/wiki/F%C3%A6r%C3%B8sk_(sprog)" TargetMode="External"/><Relationship Id="rId68" Type="http://schemas.openxmlformats.org/officeDocument/2006/relationships/hyperlink" Target="https://da.wikipedia.org/w/index.php?title=Ibo_(sprog)&amp;action=edit&amp;redlink=1" TargetMode="External"/><Relationship Id="rId89" Type="http://schemas.openxmlformats.org/officeDocument/2006/relationships/hyperlink" Target="https://da.wikipedia.org/w/index.php?title=Komi_(sprog)&amp;action=edit&amp;redlink=1" TargetMode="External"/><Relationship Id="rId112" Type="http://schemas.openxmlformats.org/officeDocument/2006/relationships/hyperlink" Target="https://da.wikipedia.org/w/index.php?title=Naurisk&amp;action=edit&amp;redlink=1" TargetMode="External"/><Relationship Id="rId133" Type="http://schemas.openxmlformats.org/officeDocument/2006/relationships/hyperlink" Target="https://da.wikipedia.org/wiki/Quechua" TargetMode="External"/><Relationship Id="rId154" Type="http://schemas.openxmlformats.org/officeDocument/2006/relationships/hyperlink" Target="https://da.wikipedia.org/wiki/Sesotho" TargetMode="External"/><Relationship Id="rId175" Type="http://schemas.openxmlformats.org/officeDocument/2006/relationships/hyperlink" Target="https://da.wikipedia.org/wiki/Usbekisk_(sprog)" TargetMode="External"/><Relationship Id="rId16" Type="http://schemas.openxmlformats.org/officeDocument/2006/relationships/hyperlink" Target="https://da.wikipedia.org/w/index.php?title=Bihari_(sproggruppe)&amp;action=edit&amp;redlink=1" TargetMode="External"/><Relationship Id="rId37" Type="http://schemas.openxmlformats.org/officeDocument/2006/relationships/hyperlink" Target="https://da.wikipedia.org/wiki/Gr%C3%A6sk" TargetMode="External"/><Relationship Id="rId58" Type="http://schemas.openxmlformats.org/officeDocument/2006/relationships/hyperlink" Target="https://da.wikipedia.org/wiki/Hindi" TargetMode="External"/><Relationship Id="rId79" Type="http://schemas.openxmlformats.org/officeDocument/2006/relationships/hyperlink" Target="https://da.wikipedia.org/w/index.php?title=Gikuyu_(sprog)&amp;action=edit&amp;redlink=1" TargetMode="External"/><Relationship Id="rId102" Type="http://schemas.openxmlformats.org/officeDocument/2006/relationships/hyperlink" Target="https://da.wikipedia.org/w/index.php?title=Marshallesisk_sprog&amp;action=edit&amp;redlink=1" TargetMode="External"/><Relationship Id="rId123" Type="http://schemas.openxmlformats.org/officeDocument/2006/relationships/hyperlink" Target="https://da.wikipedia.org/wiki/Occitansk" TargetMode="External"/><Relationship Id="rId144" Type="http://schemas.openxmlformats.org/officeDocument/2006/relationships/hyperlink" Target="https://da.wikipedia.org/wiki/Serbokroatisk" TargetMode="External"/><Relationship Id="rId90" Type="http://schemas.openxmlformats.org/officeDocument/2006/relationships/hyperlink" Target="https://da.wikipedia.org/wiki/Kornisk" TargetMode="External"/><Relationship Id="rId165" Type="http://schemas.openxmlformats.org/officeDocument/2006/relationships/hyperlink" Target="https://da.wikipedia.org/w/index.php?title=Tswana_(sprog)&amp;action=edit&amp;redlink=1" TargetMode="External"/><Relationship Id="rId186" Type="http://schemas.openxmlformats.org/officeDocument/2006/relationships/hyperlink" Target="https://da.wikipedia.org/wiki/Zulu_(sprog)" TargetMode="External"/><Relationship Id="rId27" Type="http://schemas.openxmlformats.org/officeDocument/2006/relationships/hyperlink" Target="https://da.wikipedia.org/w/index.php?title=Cree_(sprog)&amp;action=edit&amp;redlink=1" TargetMode="External"/><Relationship Id="rId48" Type="http://schemas.openxmlformats.org/officeDocument/2006/relationships/hyperlink" Target="https://da.wikipedia.org/wiki/Fransk_(sprog)" TargetMode="External"/><Relationship Id="rId69" Type="http://schemas.openxmlformats.org/officeDocument/2006/relationships/hyperlink" Target="https://da.wikipedia.org/w/index.php?title=Yi_(sprog)&amp;action=edit&amp;redlink=1" TargetMode="External"/><Relationship Id="rId113" Type="http://schemas.openxmlformats.org/officeDocument/2006/relationships/hyperlink" Target="https://da.wikipedia.org/wiki/Bokm%C3%A5l" TargetMode="External"/><Relationship Id="rId134" Type="http://schemas.openxmlformats.org/officeDocument/2006/relationships/hyperlink" Target="https://da.wikipedia.org/wiki/R%C3%A6toromansk" TargetMode="External"/><Relationship Id="rId80" Type="http://schemas.openxmlformats.org/officeDocument/2006/relationships/hyperlink" Target="https://da.wikipedia.org/w/index.php?title=Kwanyama&amp;action=edit&amp;redlink=1" TargetMode="External"/><Relationship Id="rId155" Type="http://schemas.openxmlformats.org/officeDocument/2006/relationships/hyperlink" Target="https://da.wikipedia.org/w/index.php?title=Sundanesisk&amp;action=edit&amp;redlink=1" TargetMode="External"/><Relationship Id="rId176" Type="http://schemas.openxmlformats.org/officeDocument/2006/relationships/hyperlink" Target="https://da.wikipedia.org/w/index.php?title=Venda_(sprog)&amp;action=edit&amp;redlink=1" TargetMode="External"/><Relationship Id="rId17" Type="http://schemas.openxmlformats.org/officeDocument/2006/relationships/hyperlink" Target="https://da.wikipedia.org/w/index.php?title=Bislama_(sprog)&amp;action=edit&amp;redlink=1" TargetMode="External"/><Relationship Id="rId38" Type="http://schemas.openxmlformats.org/officeDocument/2006/relationships/hyperlink" Target="https://da.wikipedia.org/wiki/Engelsk_(sprog)" TargetMode="External"/><Relationship Id="rId59" Type="http://schemas.openxmlformats.org/officeDocument/2006/relationships/hyperlink" Target="https://da.wikipedia.org/wiki/Hiri_motu" TargetMode="External"/><Relationship Id="rId103" Type="http://schemas.openxmlformats.org/officeDocument/2006/relationships/hyperlink" Target="https://da.wikipedia.org/w/index.php?title=Maoriski&amp;action=edit&amp;redlink=1" TargetMode="External"/><Relationship Id="rId124" Type="http://schemas.openxmlformats.org/officeDocument/2006/relationships/hyperlink" Target="https://da.wikipedia.org/w/index.php?title=Anishinaabe&amp;action=edit&amp;redlink=1" TargetMode="External"/><Relationship Id="rId70" Type="http://schemas.openxmlformats.org/officeDocument/2006/relationships/hyperlink" Target="https://da.wikipedia.org/w/index.php?title=Inupiak_(sprog)&amp;action=edit&amp;redlink=1" TargetMode="External"/><Relationship Id="rId91" Type="http://schemas.openxmlformats.org/officeDocument/2006/relationships/hyperlink" Target="https://da.wikipedia.org/wiki/Kirgisisk" TargetMode="External"/><Relationship Id="rId145" Type="http://schemas.openxmlformats.org/officeDocument/2006/relationships/hyperlink" Target="https://da.wikipedia.org/wiki/Singalesisk" TargetMode="External"/><Relationship Id="rId166" Type="http://schemas.openxmlformats.org/officeDocument/2006/relationships/hyperlink" Target="https://da.wikipedia.org/w/index.php?title=Tonganesisk&amp;action=edit&amp;redlink=1" TargetMode="External"/><Relationship Id="rId1" Type="http://schemas.openxmlformats.org/officeDocument/2006/relationships/hyperlink" Target="https://da.wikipedia.org/w/index.php?title=Afar_(sprog)&amp;action=edit&amp;redlink=1" TargetMode="External"/><Relationship Id="rId28" Type="http://schemas.openxmlformats.org/officeDocument/2006/relationships/hyperlink" Target="https://da.wikipedia.org/wiki/Tjekkisk_(sprog)" TargetMode="External"/><Relationship Id="rId49" Type="http://schemas.openxmlformats.org/officeDocument/2006/relationships/hyperlink" Target="https://da.wikipedia.org/wiki/Frisisk" TargetMode="External"/><Relationship Id="rId114" Type="http://schemas.openxmlformats.org/officeDocument/2006/relationships/hyperlink" Target="https://da.wikipedia.org/w/index.php?title=Nord-ndebele&amp;action=edit&amp;redlink=1" TargetMode="External"/><Relationship Id="rId60" Type="http://schemas.openxmlformats.org/officeDocument/2006/relationships/hyperlink" Target="https://da.wikipedia.org/wiki/Kroatisk" TargetMode="External"/><Relationship Id="rId81" Type="http://schemas.openxmlformats.org/officeDocument/2006/relationships/hyperlink" Target="https://da.wikipedia.org/wiki/Kasakhisk_(sprog)" TargetMode="External"/><Relationship Id="rId135" Type="http://schemas.openxmlformats.org/officeDocument/2006/relationships/hyperlink" Target="https://da.wikipedia.org/w/index.php?title=Kirundi&amp;action=edit&amp;redlink=1" TargetMode="External"/><Relationship Id="rId156" Type="http://schemas.openxmlformats.org/officeDocument/2006/relationships/hyperlink" Target="https://da.wikipedia.org/wiki/Svensk_(sprog)" TargetMode="External"/><Relationship Id="rId177" Type="http://schemas.openxmlformats.org/officeDocument/2006/relationships/hyperlink" Target="https://da.wikipedia.org/wiki/Vietnamesisk_(sprog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B91AA-5443-48D2-9424-C5C6604C82DA}">
  <dimension ref="B2:Y14"/>
  <sheetViews>
    <sheetView tabSelected="1" workbookViewId="0">
      <selection activeCell="J15" sqref="J15"/>
    </sheetView>
  </sheetViews>
  <sheetFormatPr defaultRowHeight="15"/>
  <sheetData>
    <row r="2" spans="2:25">
      <c r="B2" s="1" t="s">
        <v>0</v>
      </c>
      <c r="C2" s="1" t="s">
        <v>1</v>
      </c>
      <c r="I2" s="141" t="s">
        <v>2</v>
      </c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3"/>
    </row>
    <row r="3" spans="2:25">
      <c r="I3" s="144" t="s">
        <v>3</v>
      </c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145"/>
    </row>
    <row r="4" spans="2:25">
      <c r="B4" s="1" t="s">
        <v>0</v>
      </c>
      <c r="C4" s="1" t="s">
        <v>4</v>
      </c>
      <c r="I4" s="146" t="s">
        <v>5</v>
      </c>
      <c r="J4" s="147"/>
      <c r="K4" s="147"/>
      <c r="L4" s="147"/>
      <c r="M4" s="147"/>
      <c r="N4" s="147"/>
      <c r="O4" s="147"/>
      <c r="P4" s="147"/>
      <c r="Q4" s="147"/>
      <c r="R4" s="147"/>
      <c r="S4" s="147"/>
      <c r="T4" s="147"/>
      <c r="U4" s="147"/>
      <c r="V4" s="147"/>
      <c r="W4" s="147"/>
      <c r="X4" s="147"/>
      <c r="Y4" s="148"/>
    </row>
    <row r="5" spans="2:25">
      <c r="B5" t="s">
        <v>6</v>
      </c>
    </row>
    <row r="6" spans="2:25">
      <c r="B6" t="s">
        <v>7</v>
      </c>
    </row>
    <row r="7" spans="2:25">
      <c r="B7" t="s">
        <v>8</v>
      </c>
    </row>
    <row r="8" spans="2:25">
      <c r="B8" t="s">
        <v>9</v>
      </c>
    </row>
    <row r="9" spans="2:25">
      <c r="B9" t="s">
        <v>10</v>
      </c>
    </row>
    <row r="10" spans="2:25">
      <c r="B10" t="s">
        <v>11</v>
      </c>
    </row>
    <row r="12" spans="2:25">
      <c r="B12" s="1" t="s">
        <v>0</v>
      </c>
      <c r="C12" s="1" t="s">
        <v>12</v>
      </c>
    </row>
    <row r="13" spans="2:25">
      <c r="B13" t="s">
        <v>13</v>
      </c>
    </row>
    <row r="14" spans="2:25">
      <c r="B14" t="s">
        <v>14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0E442"/>
  </sheetPr>
  <dimension ref="A1:AF499"/>
  <sheetViews>
    <sheetView workbookViewId="0">
      <pane xSplit="3" topLeftCell="D51" activePane="topRight" state="frozen"/>
      <selection pane="topRight" activeCell="C51" sqref="C51"/>
    </sheetView>
  </sheetViews>
  <sheetFormatPr defaultRowHeight="15" customHeight="1"/>
  <cols>
    <col min="1" max="1" width="83.7109375" customWidth="1"/>
    <col min="2" max="2" width="24.28515625" customWidth="1"/>
    <col min="3" max="3" width="41.140625" customWidth="1"/>
    <col min="4" max="4" width="30.28515625" customWidth="1"/>
    <col min="5" max="5" width="39.5703125" customWidth="1"/>
    <col min="6" max="6" width="23.85546875" customWidth="1"/>
    <col min="7" max="7" width="23.140625" customWidth="1"/>
    <col min="8" max="8" width="21.85546875" customWidth="1"/>
    <col min="9" max="9" width="20.140625" customWidth="1"/>
    <col min="16" max="16" width="51.7109375" customWidth="1"/>
    <col min="17" max="17" width="23.28515625" customWidth="1"/>
    <col min="18" max="18" width="38.5703125" customWidth="1"/>
    <col min="19" max="19" width="18.140625" customWidth="1"/>
    <col min="20" max="20" width="19.42578125" customWidth="1"/>
    <col min="21" max="21" width="22.140625" customWidth="1"/>
    <col min="22" max="22" width="15.28515625" customWidth="1"/>
    <col min="23" max="23" width="20" customWidth="1"/>
    <col min="24" max="24" width="22" customWidth="1"/>
  </cols>
  <sheetData>
    <row r="1" spans="1:32" ht="24">
      <c r="A1" s="7" t="s">
        <v>15</v>
      </c>
      <c r="B1" s="1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P1" s="1" t="s">
        <v>21</v>
      </c>
      <c r="Q1" s="1" t="s">
        <v>22</v>
      </c>
      <c r="R1" s="1" t="s">
        <v>23</v>
      </c>
      <c r="X1" s="1" t="s">
        <v>24</v>
      </c>
    </row>
    <row r="2" spans="1:32">
      <c r="B2" t="str" cm="1">
        <f t="array" ref="B2">cpr</f>
        <v>123498-1234</v>
      </c>
      <c r="C2" t="str" cm="1">
        <f t="array" ref="C2">fornavn</f>
        <v>Nomina</v>
      </c>
      <c r="D2" t="str" cm="1">
        <f t="array" ref="D2">mellemnavn</f>
        <v>Medius</v>
      </c>
      <c r="E2" t="str" cm="1">
        <f t="array" ref="E2">efternavn</f>
        <v>Suffix</v>
      </c>
      <c r="F2" cm="1">
        <f t="array" ref="F2">alder</f>
        <v>27</v>
      </c>
      <c r="G2" s="19"/>
      <c r="H2" s="19"/>
      <c r="I2" s="19"/>
    </row>
    <row r="3" spans="1:32" hidden="1">
      <c r="A3" s="17" t="s">
        <v>25</v>
      </c>
      <c r="B3" s="17"/>
      <c r="C3" s="18">
        <f>COUNTIF(Datavalidering!F25:F27,"&gt;0")</f>
        <v>0</v>
      </c>
      <c r="D3" s="17"/>
      <c r="E3" s="17"/>
    </row>
    <row r="4" spans="1:32" ht="14.25" customHeight="1">
      <c r="A4" s="21" t="s">
        <v>26</v>
      </c>
      <c r="C4" s="1" t="s">
        <v>27</v>
      </c>
      <c r="D4" s="33" t="s">
        <v>28</v>
      </c>
      <c r="E4" s="1" t="s">
        <v>29</v>
      </c>
    </row>
    <row r="5" spans="1:32" ht="14.25" customHeight="1">
      <c r="A5" s="22"/>
      <c r="C5" s="63" t="s">
        <v>30</v>
      </c>
      <c r="D5" s="35">
        <f>VLOOKUP(Svangerskabsjournal!$C5,AftalerDatoer!$C$3:$E$26,2,FALSE)</f>
        <v>45729</v>
      </c>
      <c r="E5" t="str">
        <f>VLOOKUP(Svangerskabsjournal!$C5,AftalerDatoer!$C$3:$E$26,3,FALSE)</f>
        <v>8+1</v>
      </c>
      <c r="P5" s="93" t="s">
        <v>31</v>
      </c>
      <c r="Q5" s="93" t="s">
        <v>31</v>
      </c>
      <c r="R5" s="93" t="s">
        <v>31</v>
      </c>
      <c r="S5" s="93" t="s">
        <v>31</v>
      </c>
      <c r="T5" s="93" t="s">
        <v>31</v>
      </c>
      <c r="U5" s="93" t="s">
        <v>31</v>
      </c>
      <c r="V5" s="93" t="s">
        <v>31</v>
      </c>
      <c r="W5" s="93" t="s">
        <v>31</v>
      </c>
      <c r="X5" s="93" t="s">
        <v>31</v>
      </c>
      <c r="Y5" s="93" t="s">
        <v>31</v>
      </c>
      <c r="Z5" s="93" t="s">
        <v>31</v>
      </c>
      <c r="AA5" s="93" t="s">
        <v>31</v>
      </c>
      <c r="AB5" s="93" t="s">
        <v>31</v>
      </c>
      <c r="AC5" s="93" t="s">
        <v>31</v>
      </c>
      <c r="AD5" s="93" t="s">
        <v>31</v>
      </c>
      <c r="AE5" s="93" t="s">
        <v>31</v>
      </c>
      <c r="AF5" s="93" t="s">
        <v>31</v>
      </c>
    </row>
    <row r="6" spans="1:32">
      <c r="A6" s="22" t="s">
        <v>32</v>
      </c>
      <c r="P6" t="str">
        <f>VLOOKUP(A6,snomed2,2,FALSE)</f>
        <v>træk vedr. tale og sprog</v>
      </c>
      <c r="Q6" t="str">
        <f>VLOOKUP(A6,snomed2,3,FALSE)</f>
        <v>363915008</v>
      </c>
    </row>
    <row r="7" spans="1:32">
      <c r="A7" s="23" t="s">
        <v>33</v>
      </c>
      <c r="B7" s="64" t="s">
        <v>34</v>
      </c>
      <c r="P7" t="str">
        <f>VLOOKUP(A7,snomed2,2,FALSE)</f>
        <v>tolk påkrævet</v>
      </c>
      <c r="Q7" t="str">
        <f>VLOOKUP(A7,snomed2,3,FALSE)</f>
        <v>315594003</v>
      </c>
      <c r="R7" s="27" t="str">
        <f>IF(C7="","",VLOOKUP(C7,svang_snom,3,FALSE))</f>
        <v/>
      </c>
    </row>
    <row r="8" spans="1:32">
      <c r="A8" s="23" t="s">
        <v>35</v>
      </c>
      <c r="B8" t="s">
        <v>36</v>
      </c>
      <c r="D8" s="137" t="str">
        <f>IF(C8="","Sprogkode",VLOOKUP(C8,sprogkoder,2,FALSE))</f>
        <v>Sprogkode</v>
      </c>
      <c r="P8" t="str">
        <f>VLOOKUP(A8,snomed2,2,FALSE)</f>
        <v>sprog som kræver tolk</v>
      </c>
      <c r="Q8" t="str">
        <f>VLOOKUP(A8,snomed2,3,FALSE)</f>
        <v>439736001</v>
      </c>
      <c r="R8" s="2"/>
      <c r="X8" t="str">
        <f>IF(J8="","",VLOOKUP(J8,vand_snom,3,FALSE))</f>
        <v/>
      </c>
    </row>
    <row r="9" spans="1:32">
      <c r="A9" s="23" t="s">
        <v>37</v>
      </c>
      <c r="B9" t="s">
        <v>38</v>
      </c>
      <c r="D9" s="137" t="str">
        <f>IF(C9="","Landekode",VLOOKUP(C9,landekoder,2,FALSE))</f>
        <v>Landekode</v>
      </c>
      <c r="P9" t="str">
        <f>VLOOKUP(A9,snomed2,2,FALSE)</f>
        <v>oprindelsesland</v>
      </c>
      <c r="Q9" t="str">
        <f>VLOOKUP(A9,snomed2,3,FALSE)</f>
        <v>276205001</v>
      </c>
      <c r="R9" s="2"/>
      <c r="X9" t="str">
        <f>IF(J9="","",VLOOKUP(J9,vand_snom,4,FALSE))</f>
        <v/>
      </c>
    </row>
    <row r="10" spans="1:32">
      <c r="A10" s="23" t="s">
        <v>39</v>
      </c>
      <c r="B10" t="s">
        <v>40</v>
      </c>
      <c r="P10" t="str">
        <f>VLOOKUP(A10,snomed2,2,FALSE)</f>
        <v>Relevant information</v>
      </c>
      <c r="Q10" t="str">
        <f>VLOOKUP(A10,snomed2,3,FALSE)</f>
        <v>398005008</v>
      </c>
      <c r="R10" s="2"/>
      <c r="X10" s="118" t="str">
        <f>IF(R10="","",VLOOKUP(R10,snomed,3,FALSE))</f>
        <v/>
      </c>
    </row>
    <row r="11" spans="1:32">
      <c r="A11" s="21" t="s">
        <v>41</v>
      </c>
      <c r="P11" t="str">
        <f>VLOOKUP(A11,snomed2,2,FALSE)</f>
        <v>kropsmål</v>
      </c>
      <c r="Q11" t="str">
        <f>VLOOKUP(A11,snomed2,3,FALSE)</f>
        <v>248326004</v>
      </c>
      <c r="R11" s="2"/>
      <c r="X11" s="118" t="str">
        <f>IF(R11="","",VLOOKUP(R11,snomed,3,FALSE))</f>
        <v/>
      </c>
    </row>
    <row r="12" spans="1:32">
      <c r="A12" s="23" t="s">
        <v>42</v>
      </c>
      <c r="B12" s="64" t="s">
        <v>43</v>
      </c>
      <c r="P12" t="str">
        <f>VLOOKUP(A12,snomed2,2,FALSE)</f>
        <v>selvrapporteret legemsvægt før graviditet</v>
      </c>
      <c r="Q12" t="str">
        <f>VLOOKUP(A12,snomed2,3,FALSE)</f>
        <v>1162389000</v>
      </c>
      <c r="R12" s="2"/>
      <c r="X12" s="118" t="str">
        <f>IF(R12="","",VLOOKUP(R12,snomed,3,FALSE))</f>
        <v/>
      </c>
    </row>
    <row r="13" spans="1:32">
      <c r="A13" s="23" t="s">
        <v>44</v>
      </c>
      <c r="B13" s="64" t="s">
        <v>43</v>
      </c>
      <c r="P13" t="str">
        <f>VLOOKUP(A13,snomed2,2,FALSE)</f>
        <v>højde i stående stilling</v>
      </c>
      <c r="Q13" t="str">
        <f>VLOOKUP(A13,snomed2,3,FALSE)</f>
        <v>248333004</v>
      </c>
      <c r="R13" s="2"/>
      <c r="X13" s="118" t="str">
        <f>IF(R13="","",VLOOKUP(R13,snomed,3,FALSE))</f>
        <v/>
      </c>
    </row>
    <row r="14" spans="1:32">
      <c r="A14" s="23" t="s">
        <v>45</v>
      </c>
      <c r="B14" s="64" t="s">
        <v>46</v>
      </c>
      <c r="C14" s="13" t="str">
        <f>IF(C13="","",C12/((C13/100)^2))</f>
        <v/>
      </c>
      <c r="P14" t="str">
        <f>VLOOKUP(A14,snomed2,2,FALSE)</f>
        <v>body mass index</v>
      </c>
      <c r="Q14" t="str">
        <f>VLOOKUP(A14,snomed2,3,FALSE)</f>
        <v>60621009</v>
      </c>
      <c r="R14" s="2"/>
      <c r="X14" s="118" t="str">
        <f>IF(R14="","",VLOOKUP(R14,snomed,3,FALSE))</f>
        <v/>
      </c>
    </row>
    <row r="15" spans="1:32">
      <c r="A15" s="22" t="s">
        <v>47</v>
      </c>
      <c r="P15" t="str">
        <f>VLOOKUP(A15,snomed2,2,FALSE)</f>
        <v>oplysning om husstand, familie og netværk</v>
      </c>
      <c r="Q15" t="str">
        <f>VLOOKUP(A15,snomed2,3,FALSE)</f>
        <v>302160007</v>
      </c>
      <c r="R15" s="2"/>
      <c r="X15" s="118" t="str">
        <f>IF(R15="","",VLOOKUP(R15,snomed,3,FALSE))</f>
        <v/>
      </c>
    </row>
    <row r="16" spans="1:32">
      <c r="A16" s="23" t="s">
        <v>48</v>
      </c>
      <c r="B16" t="s">
        <v>49</v>
      </c>
      <c r="P16" t="str">
        <f>VLOOKUP(A16,snomed2,2,FALSE)</f>
        <v>Husstandens sammensætning</v>
      </c>
      <c r="Q16" t="str">
        <f>VLOOKUP(A16,snomed2,3,FALSE)</f>
        <v>224130005</v>
      </c>
      <c r="R16" s="27" t="str">
        <f>IF(C16="","",VLOOKUP(C16,svang_snom,3,FALSE))</f>
        <v/>
      </c>
      <c r="X16" s="118" t="str">
        <f>IF(R16="","",VLOOKUP(R16,snomed,3,FALSE))</f>
        <v/>
      </c>
    </row>
    <row r="17" spans="1:29">
      <c r="A17" s="23" t="s">
        <v>50</v>
      </c>
      <c r="B17" t="s">
        <v>51</v>
      </c>
      <c r="P17" t="str">
        <f>VLOOKUP(A17,snomed2,2,FALSE)</f>
        <v>navn</v>
      </c>
      <c r="Q17" t="str">
        <f>VLOOKUP(A17,snomed2,3,FALSE)</f>
        <v>703503000</v>
      </c>
      <c r="R17" s="2"/>
      <c r="X17" s="118" t="str">
        <f>IF(R17="","",VLOOKUP(R17,snomed,3,FALSE))</f>
        <v/>
      </c>
    </row>
    <row r="18" spans="1:29">
      <c r="A18" s="23" t="s">
        <v>52</v>
      </c>
      <c r="B18" t="s">
        <v>49</v>
      </c>
      <c r="P18" t="str">
        <f>VLOOKUP(A18,snomed2,2,FALSE)</f>
        <v>ægteskabelig status eller partnerstatus</v>
      </c>
      <c r="Q18" t="str">
        <f>VLOOKUP(A18,snomed2,3,FALSE)</f>
        <v>224083004</v>
      </c>
      <c r="R18" s="27" t="str">
        <f>IF(C18="","",VLOOKUP(C18,svang_snom,3,FALSE))</f>
        <v/>
      </c>
      <c r="X18" s="118" t="str">
        <f>IF(R18="","",VLOOKUP(R18,snomed,3,FALSE))</f>
        <v/>
      </c>
    </row>
    <row r="19" spans="1:29">
      <c r="A19" s="23" t="s">
        <v>53</v>
      </c>
      <c r="B19" t="s">
        <v>51</v>
      </c>
      <c r="P19" t="str">
        <f>VLOOKUP(A19,snomed2,2,FALSE)</f>
        <v>navn</v>
      </c>
      <c r="Q19" t="str">
        <f>VLOOKUP(A19,snomed2,3,FALSE)</f>
        <v>703503000</v>
      </c>
      <c r="R19" s="2"/>
      <c r="X19" s="118" t="str">
        <f>IF(R19="","",VLOOKUP(R19,snomed,3,FALSE))</f>
        <v/>
      </c>
    </row>
    <row r="20" spans="1:29">
      <c r="A20" s="23" t="s">
        <v>54</v>
      </c>
      <c r="B20" t="s">
        <v>55</v>
      </c>
      <c r="P20" t="str">
        <f>VLOOKUP(A20,snomed2,2,FALSE)</f>
        <v>personnummer</v>
      </c>
      <c r="Q20" t="str">
        <f>VLOOKUP(A20,snomed2,3,FALSE)</f>
        <v>567901000005107</v>
      </c>
      <c r="R20" s="2"/>
      <c r="X20" s="118" t="str">
        <f>IF(R20="","",VLOOKUP(R20,snomed,3,FALSE))</f>
        <v/>
      </c>
    </row>
    <row r="21" spans="1:29">
      <c r="A21" s="23" t="s">
        <v>56</v>
      </c>
      <c r="B21" t="s">
        <v>40</v>
      </c>
      <c r="P21" t="str">
        <f>VLOOKUP(A21,snomed2,2,FALSE)</f>
        <v>familiemæssige detaljer/husstandens sammensætning</v>
      </c>
      <c r="Q21" t="str">
        <f>VLOOKUP(A21,snomed2,3,FALSE)</f>
        <v>224085006</v>
      </c>
      <c r="R21" s="2"/>
      <c r="X21" s="118" t="str">
        <f>IF(R21="","",VLOOKUP(R21,snomed,3,FALSE))</f>
        <v/>
      </c>
    </row>
    <row r="22" spans="1:29">
      <c r="A22" s="22" t="s">
        <v>57</v>
      </c>
      <c r="P22" t="str">
        <f>VLOOKUP(A22,snomed2,2,FALSE)</f>
        <v>obstetrisk anamnese</v>
      </c>
      <c r="Q22" t="str">
        <f>VLOOKUP(A22,snomed2,3,FALSE)</f>
        <v>248983002</v>
      </c>
      <c r="R22" s="2"/>
      <c r="X22" s="118" t="str">
        <f>IF(R22="","",VLOOKUP(R22,snomed,3,FALSE))</f>
        <v/>
      </c>
    </row>
    <row r="23" spans="1:29">
      <c r="A23" s="23" t="s">
        <v>58</v>
      </c>
      <c r="B23" t="s">
        <v>59</v>
      </c>
      <c r="C23">
        <v>0</v>
      </c>
      <c r="D23" s="24">
        <f>C23</f>
        <v>0</v>
      </c>
      <c r="E23" s="24">
        <f>D23</f>
        <v>0</v>
      </c>
      <c r="R23" s="2"/>
      <c r="X23" s="118" t="str">
        <f>IF(R23="","",VLOOKUP(R23,snomed,3,FALSE))</f>
        <v/>
      </c>
    </row>
    <row r="24" spans="1:29">
      <c r="A24" s="22" t="s">
        <v>60</v>
      </c>
      <c r="C24" s="4" t="s">
        <v>61</v>
      </c>
      <c r="D24" s="4" t="s">
        <v>62</v>
      </c>
      <c r="E24" s="4" t="s">
        <v>63</v>
      </c>
      <c r="F24" s="4" t="s">
        <v>64</v>
      </c>
      <c r="G24" s="4" t="s">
        <v>65</v>
      </c>
      <c r="H24" s="4" t="s">
        <v>66</v>
      </c>
      <c r="P24" t="str">
        <f>VLOOKUP(A24,snomed2,2,FALSE)</f>
        <v>træk vedr. graviditet, fødsel og barsel</v>
      </c>
      <c r="Q24" t="str">
        <f>VLOOKUP(A24,snomed2,3,FALSE)</f>
        <v>364319003</v>
      </c>
      <c r="R24" s="2"/>
      <c r="X24" s="118" t="str">
        <f>IF(R24="","",VLOOKUP(R24,snomed,3,FALSE))</f>
        <v/>
      </c>
    </row>
    <row r="25" spans="1:29">
      <c r="A25" s="23" t="s">
        <v>67</v>
      </c>
      <c r="B25" t="s">
        <v>68</v>
      </c>
      <c r="D25" s="5"/>
      <c r="E25" s="5"/>
      <c r="F25" s="5"/>
      <c r="G25" s="5"/>
      <c r="H25" s="5"/>
      <c r="R25" s="2"/>
      <c r="X25" s="118" t="str">
        <f>IF(R25="","",VLOOKUP(R25,snomed,3,FALSE))</f>
        <v/>
      </c>
    </row>
    <row r="26" spans="1:29">
      <c r="A26" s="23" t="s">
        <v>69</v>
      </c>
      <c r="B26" t="s">
        <v>70</v>
      </c>
      <c r="D26" s="5"/>
      <c r="E26" s="5"/>
      <c r="F26" s="5"/>
      <c r="G26" s="5"/>
      <c r="H26" s="5"/>
      <c r="P26" t="str">
        <f>VLOOKUP(A26,snomed2,2,FALSE)</f>
        <v>kalenderår</v>
      </c>
      <c r="Q26" t="str">
        <f>VLOOKUP(A26,snomed2,3,FALSE)</f>
        <v>277267003</v>
      </c>
      <c r="R26" s="2"/>
      <c r="X26" s="118" t="str">
        <f>IF(R26="","",VLOOKUP(R26,snomed,3,FALSE))</f>
        <v/>
      </c>
    </row>
    <row r="27" spans="1:29">
      <c r="A27" s="23" t="s">
        <v>71</v>
      </c>
      <c r="B27" t="s">
        <v>40</v>
      </c>
      <c r="D27" s="5"/>
      <c r="E27" s="5"/>
      <c r="F27" s="5"/>
      <c r="G27" s="5"/>
      <c r="H27" s="5"/>
      <c r="P27" t="str">
        <f>VLOOKUP(A27,snomed2,2,FALSE)</f>
        <v>fødested</v>
      </c>
      <c r="Q27" t="str">
        <f>VLOOKUP(A27,snomed2,3,FALSE)</f>
        <v>169812000</v>
      </c>
      <c r="R27" s="2"/>
      <c r="X27" s="118" t="str">
        <f>IF(R27="","",VLOOKUP(R27,snomed,3,FALSE))</f>
        <v/>
      </c>
    </row>
    <row r="28" spans="1:29">
      <c r="A28" s="23" t="s">
        <v>72</v>
      </c>
      <c r="B28" t="s">
        <v>70</v>
      </c>
      <c r="D28" s="5"/>
      <c r="E28" s="5"/>
      <c r="F28" s="5"/>
      <c r="G28" s="5"/>
      <c r="H28" s="5"/>
      <c r="P28" t="str">
        <f>VLOOKUP(A28,snomed2,2,FALSE)</f>
        <v>gestationsalder</v>
      </c>
      <c r="Q28" t="str">
        <f>VLOOKUP(A28,snomed2,3,FALSE)</f>
        <v>598151000005105</v>
      </c>
      <c r="R28" s="2"/>
      <c r="X28" s="118" t="str">
        <f>IF(R28="","",VLOOKUP(R28,snomed,3,FALSE))</f>
        <v/>
      </c>
    </row>
    <row r="29" spans="1:29">
      <c r="A29" s="23" t="s">
        <v>73</v>
      </c>
      <c r="B29" t="s">
        <v>74</v>
      </c>
      <c r="D29" s="5"/>
      <c r="E29" s="5"/>
      <c r="F29" s="5"/>
      <c r="G29" s="5"/>
      <c r="H29" s="5"/>
      <c r="P29" t="str">
        <f>VLOOKUP(A29,snomed2,2,FALSE)</f>
        <v>træk vedr. graviditet</v>
      </c>
      <c r="Q29" t="str">
        <f>VLOOKUP(A29,snomed2,3,FALSE)</f>
        <v>364320009</v>
      </c>
      <c r="R29" s="27" t="str">
        <f>IF(C29="","",VLOOKUP(C29,svang_snom,3,FALSE))</f>
        <v/>
      </c>
      <c r="S29" s="27" t="str">
        <f>IF(D29="","",VLOOKUP(D29,svang_snom,3,FALSE))</f>
        <v/>
      </c>
      <c r="T29" s="27" t="str">
        <f>IF(E29="","",VLOOKUP(E29,svang_snom,3,FALSE))</f>
        <v/>
      </c>
      <c r="U29" s="27" t="str">
        <f>IF(F29="","",VLOOKUP(F29,svang_snom,3,FALSE))</f>
        <v/>
      </c>
      <c r="V29" s="27" t="str">
        <f>IF(G29="","",VLOOKUP(G29,svang_snom,3,FALSE))</f>
        <v/>
      </c>
      <c r="W29" s="27" t="str">
        <f>IF(H29="","",VLOOKUP(H29,svang_snom,3,FALSE))</f>
        <v/>
      </c>
      <c r="X29" s="118" t="str">
        <f>IF(R29="","",VLOOKUP(R29,snomed,3,FALSE))</f>
        <v/>
      </c>
      <c r="Y29" s="118" t="str">
        <f>IF(S29="","",VLOOKUP(S29,snomed,3,FALSE))</f>
        <v/>
      </c>
      <c r="Z29" s="118" t="str">
        <f>IF(T29="","",VLOOKUP(T29,snomed,3,FALSE))</f>
        <v/>
      </c>
      <c r="AA29" s="118" t="str">
        <f>IF(U29="","",VLOOKUP(U29,snomed,3,FALSE))</f>
        <v/>
      </c>
      <c r="AB29" s="118" t="str">
        <f>IF(V29="","",VLOOKUP(V29,snomed,3,FALSE))</f>
        <v/>
      </c>
      <c r="AC29" s="118" t="str">
        <f>IF(W29="","",VLOOKUP(W29,snomed,3,FALSE))</f>
        <v/>
      </c>
    </row>
    <row r="30" spans="1:29">
      <c r="A30" s="23" t="s">
        <v>73</v>
      </c>
      <c r="D30" s="5"/>
      <c r="E30" s="5"/>
      <c r="F30" s="5"/>
      <c r="G30" s="5"/>
      <c r="H30" s="5"/>
      <c r="P30" t="str">
        <f>VLOOKUP(A30,snomed2,2,FALSE)</f>
        <v>træk vedr. graviditet</v>
      </c>
      <c r="Q30" t="str">
        <f>VLOOKUP(A30,snomed2,3,FALSE)</f>
        <v>364320009</v>
      </c>
      <c r="R30" s="27" t="str">
        <f>IF(C30="","",VLOOKUP(C30,svang_snom,3,FALSE))</f>
        <v/>
      </c>
      <c r="S30" s="27" t="str">
        <f>IF(D30="","",VLOOKUP(D30,svang_snom,3,FALSE))</f>
        <v/>
      </c>
      <c r="T30" s="27" t="str">
        <f>IF(E30="","",VLOOKUP(E30,svang_snom,3,FALSE))</f>
        <v/>
      </c>
      <c r="U30" s="27" t="str">
        <f>IF(F30="","",VLOOKUP(F30,svang_snom,3,FALSE))</f>
        <v/>
      </c>
      <c r="V30" s="27" t="str">
        <f>IF(G30="","",VLOOKUP(G30,svang_snom,3,FALSE))</f>
        <v/>
      </c>
      <c r="W30" s="27" t="str">
        <f>IF(H30="","",VLOOKUP(H30,svang_snom,3,FALSE))</f>
        <v/>
      </c>
      <c r="X30" s="118" t="str">
        <f>IF(R30="","",VLOOKUP(R30,snomed,3,FALSE))</f>
        <v/>
      </c>
      <c r="Y30" s="118" t="str">
        <f>IF(S30="","",VLOOKUP(S30,snomed,3,FALSE))</f>
        <v/>
      </c>
      <c r="Z30" s="118" t="str">
        <f>IF(T30="","",VLOOKUP(T30,snomed,3,FALSE))</f>
        <v/>
      </c>
      <c r="AA30" s="118" t="str">
        <f>IF(U30="","",VLOOKUP(U30,snomed,3,FALSE))</f>
        <v/>
      </c>
      <c r="AB30" s="118" t="str">
        <f>IF(V30="","",VLOOKUP(V30,snomed,3,FALSE))</f>
        <v/>
      </c>
      <c r="AC30" s="118" t="str">
        <f>IF(W30="","",VLOOKUP(W30,snomed,3,FALSE))</f>
        <v/>
      </c>
    </row>
    <row r="31" spans="1:29">
      <c r="A31" s="23" t="s">
        <v>73</v>
      </c>
      <c r="D31" s="5"/>
      <c r="E31" s="5"/>
      <c r="F31" s="5"/>
      <c r="G31" s="5"/>
      <c r="H31" s="5"/>
      <c r="P31" t="str">
        <f>VLOOKUP(A31,snomed2,2,FALSE)</f>
        <v>træk vedr. graviditet</v>
      </c>
      <c r="Q31" t="str">
        <f>VLOOKUP(A31,snomed2,3,FALSE)</f>
        <v>364320009</v>
      </c>
      <c r="R31" s="27" t="str">
        <f>IF(C31="","",VLOOKUP(C31,svang_snom,3,FALSE))</f>
        <v/>
      </c>
      <c r="S31" s="27" t="str">
        <f>IF(D31="","",VLOOKUP(D31,svang_snom,3,FALSE))</f>
        <v/>
      </c>
      <c r="T31" s="27" t="str">
        <f>IF(E31="","",VLOOKUP(E31,svang_snom,3,FALSE))</f>
        <v/>
      </c>
      <c r="U31" s="27" t="str">
        <f>IF(F31="","",VLOOKUP(F31,svang_snom,3,FALSE))</f>
        <v/>
      </c>
      <c r="V31" s="27" t="str">
        <f>IF(G31="","",VLOOKUP(G31,svang_snom,3,FALSE))</f>
        <v/>
      </c>
      <c r="W31" s="27" t="str">
        <f>IF(H31="","",VLOOKUP(H31,svang_snom,3,FALSE))</f>
        <v/>
      </c>
      <c r="X31" s="118" t="str">
        <f>IF(R31="","",VLOOKUP(R31,snomed,3,FALSE))</f>
        <v/>
      </c>
      <c r="Y31" s="118" t="str">
        <f>IF(S31="","",VLOOKUP(S31,snomed,3,FALSE))</f>
        <v/>
      </c>
      <c r="Z31" s="118" t="str">
        <f>IF(T31="","",VLOOKUP(T31,snomed,3,FALSE))</f>
        <v/>
      </c>
      <c r="AA31" s="118" t="str">
        <f>IF(U31="","",VLOOKUP(U31,snomed,3,FALSE))</f>
        <v/>
      </c>
      <c r="AB31" s="118" t="str">
        <f>IF(V31="","",VLOOKUP(V31,snomed,3,FALSE))</f>
        <v/>
      </c>
      <c r="AC31" s="118" t="str">
        <f>IF(W31="","",VLOOKUP(W31,snomed,3,FALSE))</f>
        <v/>
      </c>
    </row>
    <row r="32" spans="1:29">
      <c r="A32" s="23" t="s">
        <v>73</v>
      </c>
      <c r="D32" s="5"/>
      <c r="E32" s="5"/>
      <c r="F32" s="120"/>
      <c r="G32" s="5"/>
      <c r="H32" s="5"/>
      <c r="P32" t="str">
        <f>VLOOKUP(A32,snomed2,2,FALSE)</f>
        <v>træk vedr. graviditet</v>
      </c>
      <c r="Q32" t="str">
        <f>VLOOKUP(A32,snomed2,3,FALSE)</f>
        <v>364320009</v>
      </c>
      <c r="R32" s="27" t="str">
        <f>IF(C32="","",VLOOKUP(C32,svang_snom,3,FALSE))</f>
        <v/>
      </c>
      <c r="S32" s="27" t="str">
        <f>IF(D32="","",VLOOKUP(D32,svang_snom,3,FALSE))</f>
        <v/>
      </c>
      <c r="T32" s="27" t="str">
        <f>IF(E32="","",VLOOKUP(E32,svang_snom,3,FALSE))</f>
        <v/>
      </c>
      <c r="U32" s="27" t="str">
        <f>IF(F32="","",VLOOKUP(F32,svang_snom,3,FALSE))</f>
        <v/>
      </c>
      <c r="V32" s="27" t="str">
        <f>IF(G32="","",VLOOKUP(G32,svang_snom,3,FALSE))</f>
        <v/>
      </c>
      <c r="W32" s="27" t="str">
        <f>IF(H32="","",VLOOKUP(H32,svang_snom,3,FALSE))</f>
        <v/>
      </c>
      <c r="X32" s="118" t="str">
        <f>IF(R32="","",VLOOKUP(R32,snomed,3,FALSE))</f>
        <v/>
      </c>
      <c r="Y32" s="118" t="str">
        <f>IF(S32="","",VLOOKUP(S32,snomed,3,FALSE))</f>
        <v/>
      </c>
      <c r="Z32" s="118" t="str">
        <f>IF(T32="","",VLOOKUP(T32,snomed,3,FALSE))</f>
        <v/>
      </c>
      <c r="AA32" s="118" t="str">
        <f>IF(U32="","",VLOOKUP(U32,snomed,3,FALSE))</f>
        <v/>
      </c>
      <c r="AB32" s="118" t="str">
        <f>IF(V32="","",VLOOKUP(V32,snomed,3,FALSE))</f>
        <v/>
      </c>
      <c r="AC32" s="118" t="str">
        <f>IF(W32="","",VLOOKUP(W32,snomed,3,FALSE))</f>
        <v/>
      </c>
    </row>
    <row r="33" spans="1:29">
      <c r="A33" s="23" t="s">
        <v>73</v>
      </c>
      <c r="D33" s="5"/>
      <c r="E33" s="5"/>
      <c r="F33" s="5"/>
      <c r="G33" s="5"/>
      <c r="H33" s="5"/>
      <c r="P33" t="str">
        <f>VLOOKUP(A33,snomed2,2,FALSE)</f>
        <v>træk vedr. graviditet</v>
      </c>
      <c r="Q33" t="str">
        <f>VLOOKUP(A33,snomed2,3,FALSE)</f>
        <v>364320009</v>
      </c>
      <c r="R33" s="27" t="str">
        <f>IF(C33="","",VLOOKUP(C33,svang_snom,3,FALSE))</f>
        <v/>
      </c>
      <c r="S33" s="27" t="str">
        <f>IF(D33="","",VLOOKUP(D33,svang_snom,3,FALSE))</f>
        <v/>
      </c>
      <c r="T33" s="27" t="str">
        <f>IF(E33="","",VLOOKUP(E33,svang_snom,3,FALSE))</f>
        <v/>
      </c>
      <c r="U33" s="27" t="str">
        <f>IF(F33="","",VLOOKUP(F33,svang_snom,3,FALSE))</f>
        <v/>
      </c>
      <c r="V33" s="27" t="str">
        <f>IF(G33="","",VLOOKUP(G33,svang_snom,3,FALSE))</f>
        <v/>
      </c>
      <c r="W33" s="27" t="str">
        <f>IF(H33="","",VLOOKUP(H33,svang_snom,3,FALSE))</f>
        <v/>
      </c>
      <c r="X33" s="118" t="str">
        <f>IF(R33="","",VLOOKUP(R33,snomed,3,FALSE))</f>
        <v/>
      </c>
      <c r="Y33" s="118" t="str">
        <f>IF(S33="","",VLOOKUP(S33,snomed,3,FALSE))</f>
        <v/>
      </c>
      <c r="Z33" s="118" t="str">
        <f>IF(T33="","",VLOOKUP(T33,snomed,3,FALSE))</f>
        <v/>
      </c>
      <c r="AA33" s="118" t="str">
        <f>IF(U33="","",VLOOKUP(U33,snomed,3,FALSE))</f>
        <v/>
      </c>
      <c r="AB33" s="118" t="str">
        <f>IF(V33="","",VLOOKUP(V33,snomed,3,FALSE))</f>
        <v/>
      </c>
      <c r="AC33" s="118" t="str">
        <f>IF(W33="","",VLOOKUP(W33,snomed,3,FALSE))</f>
        <v/>
      </c>
    </row>
    <row r="34" spans="1:29">
      <c r="A34" s="23" t="s">
        <v>73</v>
      </c>
      <c r="D34" s="5"/>
      <c r="E34" s="5"/>
      <c r="F34" s="5"/>
      <c r="G34" s="5"/>
      <c r="H34" s="5"/>
      <c r="P34" t="str">
        <f>VLOOKUP(A34,snomed2,2,FALSE)</f>
        <v>træk vedr. graviditet</v>
      </c>
      <c r="Q34" t="str">
        <f>VLOOKUP(A34,snomed2,3,FALSE)</f>
        <v>364320009</v>
      </c>
      <c r="R34" s="27" t="str">
        <f>IF(C34="","",VLOOKUP(C34,svang_snom,3,FALSE))</f>
        <v/>
      </c>
      <c r="S34" s="27" t="str">
        <f>IF(D34="","",VLOOKUP(D34,svang_snom,3,FALSE))</f>
        <v/>
      </c>
      <c r="T34" s="27" t="str">
        <f>IF(E34="","",VLOOKUP(E34,svang_snom,3,FALSE))</f>
        <v/>
      </c>
      <c r="U34" s="27" t="str">
        <f>IF(F34="","",VLOOKUP(F34,svang_snom,3,FALSE))</f>
        <v/>
      </c>
      <c r="V34" s="27" t="str">
        <f>IF(G34="","",VLOOKUP(G34,svang_snom,3,FALSE))</f>
        <v/>
      </c>
      <c r="W34" s="27" t="str">
        <f>IF(H34="","",VLOOKUP(H34,svang_snom,3,FALSE))</f>
        <v/>
      </c>
      <c r="X34" s="118" t="str">
        <f>IF(R34="","",VLOOKUP(R34,snomed,3,FALSE))</f>
        <v/>
      </c>
      <c r="Y34" s="118" t="str">
        <f>IF(S34="","",VLOOKUP(S34,snomed,3,FALSE))</f>
        <v/>
      </c>
      <c r="Z34" s="118" t="str">
        <f>IF(T34="","",VLOOKUP(T34,snomed,3,FALSE))</f>
        <v/>
      </c>
      <c r="AA34" s="118" t="str">
        <f>IF(U34="","",VLOOKUP(U34,snomed,3,FALSE))</f>
        <v/>
      </c>
      <c r="AB34" s="118" t="str">
        <f>IF(V34="","",VLOOKUP(V34,snomed,3,FALSE))</f>
        <v/>
      </c>
      <c r="AC34" s="118" t="str">
        <f>IF(W34="","",VLOOKUP(W34,snomed,3,FALSE))</f>
        <v/>
      </c>
    </row>
    <row r="35" spans="1:29">
      <c r="A35" s="23" t="s">
        <v>73</v>
      </c>
      <c r="D35" s="5"/>
      <c r="E35" s="5"/>
      <c r="F35" s="5"/>
      <c r="G35" s="5"/>
      <c r="H35" s="5"/>
      <c r="P35" t="str">
        <f>VLOOKUP(A35,snomed2,2,FALSE)</f>
        <v>træk vedr. graviditet</v>
      </c>
      <c r="Q35" t="str">
        <f>VLOOKUP(A35,snomed2,3,FALSE)</f>
        <v>364320009</v>
      </c>
      <c r="R35" s="27" t="str">
        <f>IF(C35="","",VLOOKUP(C35,svang_snom,3,FALSE))</f>
        <v/>
      </c>
      <c r="S35" s="27" t="str">
        <f>IF(D35="","",VLOOKUP(D35,svang_snom,3,FALSE))</f>
        <v/>
      </c>
      <c r="T35" s="27" t="str">
        <f>IF(E35="","",VLOOKUP(E35,svang_snom,3,FALSE))</f>
        <v/>
      </c>
      <c r="U35" s="27" t="str">
        <f>IF(F35="","",VLOOKUP(F35,svang_snom,3,FALSE))</f>
        <v/>
      </c>
      <c r="V35" s="27" t="str">
        <f>IF(G35="","",VLOOKUP(G35,svang_snom,3,FALSE))</f>
        <v/>
      </c>
      <c r="W35" s="27" t="str">
        <f>IF(H35="","",VLOOKUP(H35,svang_snom,3,FALSE))</f>
        <v/>
      </c>
      <c r="X35" s="118" t="str">
        <f>IF(R35="","",VLOOKUP(R35,snomed,3,FALSE))</f>
        <v/>
      </c>
      <c r="Y35" s="118" t="str">
        <f>IF(S35="","",VLOOKUP(S35,snomed,3,FALSE))</f>
        <v/>
      </c>
      <c r="Z35" s="118" t="str">
        <f>IF(T35="","",VLOOKUP(T35,snomed,3,FALSE))</f>
        <v/>
      </c>
      <c r="AA35" s="118" t="str">
        <f>IF(U35="","",VLOOKUP(U35,snomed,3,FALSE))</f>
        <v/>
      </c>
      <c r="AB35" s="118" t="str">
        <f>IF(V35="","",VLOOKUP(V35,snomed,3,FALSE))</f>
        <v/>
      </c>
      <c r="AC35" s="118" t="str">
        <f>IF(W35="","",VLOOKUP(W35,snomed,3,FALSE))</f>
        <v/>
      </c>
    </row>
    <row r="36" spans="1:29">
      <c r="A36" s="23" t="s">
        <v>73</v>
      </c>
      <c r="D36" s="5"/>
      <c r="E36" s="5"/>
      <c r="F36" s="5"/>
      <c r="G36" s="5"/>
      <c r="H36" s="5"/>
      <c r="P36" t="str">
        <f>VLOOKUP(A36,snomed2,2,FALSE)</f>
        <v>træk vedr. graviditet</v>
      </c>
      <c r="Q36" t="str">
        <f>VLOOKUP(A36,snomed2,3,FALSE)</f>
        <v>364320009</v>
      </c>
      <c r="R36" s="27" t="str">
        <f>IF(C36="","",VLOOKUP(C36,svang_snom,3,FALSE))</f>
        <v/>
      </c>
      <c r="S36" s="27" t="str">
        <f>IF(D36="","",VLOOKUP(D36,svang_snom,3,FALSE))</f>
        <v/>
      </c>
      <c r="T36" s="27" t="str">
        <f>IF(E36="","",VLOOKUP(E36,svang_snom,3,FALSE))</f>
        <v/>
      </c>
      <c r="U36" s="27" t="str">
        <f>IF(F36="","",VLOOKUP(F36,svang_snom,3,FALSE))</f>
        <v/>
      </c>
      <c r="V36" s="27" t="str">
        <f>IF(G36="","",VLOOKUP(G36,svang_snom,3,FALSE))</f>
        <v/>
      </c>
      <c r="W36" s="27" t="str">
        <f>IF(H36="","",VLOOKUP(H36,svang_snom,3,FALSE))</f>
        <v/>
      </c>
      <c r="X36" s="118" t="str">
        <f>IF(R36="","",VLOOKUP(R36,snomed,3,FALSE))</f>
        <v/>
      </c>
      <c r="Y36" s="118" t="str">
        <f>IF(S36="","",VLOOKUP(S36,snomed,3,FALSE))</f>
        <v/>
      </c>
      <c r="Z36" s="118" t="str">
        <f>IF(T36="","",VLOOKUP(T36,snomed,3,FALSE))</f>
        <v/>
      </c>
      <c r="AA36" s="118" t="str">
        <f>IF(U36="","",VLOOKUP(U36,snomed,3,FALSE))</f>
        <v/>
      </c>
      <c r="AB36" s="118" t="str">
        <f>IF(V36="","",VLOOKUP(V36,snomed,3,FALSE))</f>
        <v/>
      </c>
      <c r="AC36" s="118" t="str">
        <f>IF(W36="","",VLOOKUP(W36,snomed,3,FALSE))</f>
        <v/>
      </c>
    </row>
    <row r="37" spans="1:29">
      <c r="A37" s="23" t="s">
        <v>75</v>
      </c>
      <c r="B37" t="s">
        <v>76</v>
      </c>
      <c r="D37" s="5"/>
      <c r="E37" s="5"/>
      <c r="F37" s="5"/>
      <c r="G37" s="5"/>
      <c r="H37" s="5"/>
      <c r="P37" t="str">
        <f>VLOOKUP(A37,snomed2,2,FALSE)</f>
        <v>relevant information</v>
      </c>
      <c r="Q37" t="str">
        <f>VLOOKUP(A37,snomed2,3,FALSE)</f>
        <v>364320009</v>
      </c>
      <c r="R37" s="2"/>
      <c r="X37" s="118" t="str">
        <f>IF(R37="","",VLOOKUP(R37,snomed,3,FALSE))</f>
        <v/>
      </c>
      <c r="Y37" s="118" t="str">
        <f>IF(S37="","",VLOOKUP(S37,snomed,3,FALSE))</f>
        <v/>
      </c>
      <c r="Z37" s="118" t="str">
        <f>IF(T37="","",VLOOKUP(T37,snomed,3,FALSE))</f>
        <v/>
      </c>
      <c r="AA37" s="118" t="str">
        <f>IF(U37="","",VLOOKUP(U37,snomed,3,FALSE))</f>
        <v/>
      </c>
      <c r="AB37" s="118" t="str">
        <f>IF(V37="","",VLOOKUP(V37,snomed,3,FALSE))</f>
        <v/>
      </c>
      <c r="AC37" s="118" t="str">
        <f>IF(W37="","",VLOOKUP(W37,snomed,3,FALSE))</f>
        <v/>
      </c>
    </row>
    <row r="38" spans="1:29">
      <c r="A38" s="23" t="s">
        <v>77</v>
      </c>
      <c r="B38" t="s">
        <v>74</v>
      </c>
      <c r="D38" s="5"/>
      <c r="E38" s="5"/>
      <c r="F38" s="5"/>
      <c r="G38" s="5"/>
      <c r="H38" s="5"/>
      <c r="P38" t="str">
        <f>VLOOKUP(A38,snomed2,2,FALSE)</f>
        <v>træk vedr. fødselsprocessen</v>
      </c>
      <c r="Q38" t="str">
        <f>VLOOKUP(A38,snomed2,3,FALSE)</f>
        <v>364328002</v>
      </c>
      <c r="R38" s="27" t="str">
        <f>IF(C38="","",VLOOKUP(C38,svang_snom,3,FALSE))</f>
        <v/>
      </c>
      <c r="S38" s="27" t="str">
        <f>IF(D38="","",VLOOKUP(D38,svang_snom,3,FALSE))</f>
        <v/>
      </c>
      <c r="T38" s="27" t="str">
        <f>IF(E38="","",VLOOKUP(E38,svang_snom,3,FALSE))</f>
        <v/>
      </c>
      <c r="U38" s="27" t="str">
        <f>IF(F38="","",VLOOKUP(F38,svang_snom,3,FALSE))</f>
        <v/>
      </c>
      <c r="V38" s="27" t="str">
        <f>IF(G38="","",VLOOKUP(G38,svang_snom,3,FALSE))</f>
        <v/>
      </c>
      <c r="W38" s="27" t="str">
        <f>IF(H38="","",VLOOKUP(H38,svang_snom,3,FALSE))</f>
        <v/>
      </c>
      <c r="X38" s="118" t="str">
        <f>IF(R38="","",VLOOKUP(R38,snomed,3,FALSE))</f>
        <v/>
      </c>
      <c r="Y38" s="118" t="str">
        <f>IF(S38="","",VLOOKUP(S38,snomed,3,FALSE))</f>
        <v/>
      </c>
      <c r="Z38" s="118" t="str">
        <f>IF(T38="","",VLOOKUP(T38,snomed,3,FALSE))</f>
        <v/>
      </c>
      <c r="AA38" s="118" t="str">
        <f>IF(U38="","",VLOOKUP(U38,snomed,3,FALSE))</f>
        <v/>
      </c>
      <c r="AB38" s="118" t="str">
        <f>IF(V38="","",VLOOKUP(V38,snomed,3,FALSE))</f>
        <v/>
      </c>
      <c r="AC38" s="118" t="str">
        <f>IF(W38="","",VLOOKUP(W38,snomed,3,FALSE))</f>
        <v/>
      </c>
    </row>
    <row r="39" spans="1:29">
      <c r="A39" s="23" t="s">
        <v>77</v>
      </c>
      <c r="D39" s="5"/>
      <c r="E39" s="5"/>
      <c r="F39" s="5"/>
      <c r="G39" s="5"/>
      <c r="H39" s="5"/>
      <c r="P39" t="str">
        <f>VLOOKUP(A39,snomed2,2,FALSE)</f>
        <v>træk vedr. fødselsprocessen</v>
      </c>
      <c r="Q39" t="str">
        <f>VLOOKUP(A39,snomed2,3,FALSE)</f>
        <v>364328002</v>
      </c>
      <c r="R39" s="27" t="str">
        <f>IF(C39="","",VLOOKUP(C39,svang_snom,3,FALSE))</f>
        <v/>
      </c>
      <c r="S39" s="27" t="str">
        <f>IF(D39="","",VLOOKUP(D39,svang_snom,3,FALSE))</f>
        <v/>
      </c>
      <c r="T39" s="27" t="str">
        <f>IF(E39="","",VLOOKUP(E39,svang_snom,3,FALSE))</f>
        <v/>
      </c>
      <c r="U39" s="27" t="str">
        <f>IF(F39="","",VLOOKUP(F39,svang_snom,3,FALSE))</f>
        <v/>
      </c>
      <c r="V39" s="27" t="str">
        <f>IF(G39="","",VLOOKUP(G39,svang_snom,3,FALSE))</f>
        <v/>
      </c>
      <c r="W39" s="27" t="str">
        <f>IF(H39="","",VLOOKUP(H39,svang_snom,3,FALSE))</f>
        <v/>
      </c>
      <c r="X39" s="118" t="str">
        <f>IF(R39="","",VLOOKUP(R39,snomed,3,FALSE))</f>
        <v/>
      </c>
      <c r="Y39" s="118" t="str">
        <f>IF(S39="","",VLOOKUP(S39,snomed,3,FALSE))</f>
        <v/>
      </c>
      <c r="Z39" s="118" t="str">
        <f>IF(T39="","",VLOOKUP(T39,snomed,3,FALSE))</f>
        <v/>
      </c>
      <c r="AA39" s="118" t="str">
        <f>IF(U39="","",VLOOKUP(U39,snomed,3,FALSE))</f>
        <v/>
      </c>
      <c r="AB39" s="118" t="str">
        <f>IF(V39="","",VLOOKUP(V39,snomed,3,FALSE))</f>
        <v/>
      </c>
      <c r="AC39" s="118" t="str">
        <f>IF(W39="","",VLOOKUP(W39,snomed,3,FALSE))</f>
        <v/>
      </c>
    </row>
    <row r="40" spans="1:29">
      <c r="A40" s="23" t="s">
        <v>77</v>
      </c>
      <c r="D40" s="5"/>
      <c r="E40" s="5"/>
      <c r="F40" s="5"/>
      <c r="G40" s="5"/>
      <c r="H40" s="5"/>
      <c r="P40" t="str">
        <f>VLOOKUP(A40,snomed2,2,FALSE)</f>
        <v>træk vedr. fødselsprocessen</v>
      </c>
      <c r="Q40" t="str">
        <f>VLOOKUP(A40,snomed2,3,FALSE)</f>
        <v>364328002</v>
      </c>
      <c r="R40" s="27" t="str">
        <f>IF(C40="","",VLOOKUP(C40,svang_snom,3,FALSE))</f>
        <v/>
      </c>
      <c r="S40" s="27" t="str">
        <f>IF(D40="","",VLOOKUP(D40,svang_snom,3,FALSE))</f>
        <v/>
      </c>
      <c r="T40" s="27" t="str">
        <f>IF(E40="","",VLOOKUP(E40,svang_snom,3,FALSE))</f>
        <v/>
      </c>
      <c r="U40" s="27" t="str">
        <f>IF(F40="","",VLOOKUP(F40,svang_snom,3,FALSE))</f>
        <v/>
      </c>
      <c r="V40" s="27" t="str">
        <f>IF(G40="","",VLOOKUP(G40,svang_snom,3,FALSE))</f>
        <v/>
      </c>
      <c r="W40" s="27" t="str">
        <f>IF(H40="","",VLOOKUP(H40,svang_snom,3,FALSE))</f>
        <v/>
      </c>
      <c r="X40" s="118" t="str">
        <f>IF(R40="","",VLOOKUP(R40,snomed,3,FALSE))</f>
        <v/>
      </c>
      <c r="Y40" s="118" t="str">
        <f>IF(S40="","",VLOOKUP(S40,snomed,3,FALSE))</f>
        <v/>
      </c>
      <c r="Z40" s="118" t="str">
        <f>IF(T40="","",VLOOKUP(T40,snomed,3,FALSE))</f>
        <v/>
      </c>
      <c r="AA40" s="118" t="str">
        <f>IF(U40="","",VLOOKUP(U40,snomed,3,FALSE))</f>
        <v/>
      </c>
      <c r="AB40" s="118" t="str">
        <f>IF(V40="","",VLOOKUP(V40,snomed,3,FALSE))</f>
        <v/>
      </c>
      <c r="AC40" s="118" t="str">
        <f>IF(W40="","",VLOOKUP(W40,snomed,3,FALSE))</f>
        <v/>
      </c>
    </row>
    <row r="41" spans="1:29">
      <c r="A41" s="23" t="s">
        <v>77</v>
      </c>
      <c r="D41" s="5"/>
      <c r="E41" s="5"/>
      <c r="F41" s="5"/>
      <c r="G41" s="5"/>
      <c r="H41" s="5"/>
      <c r="P41" t="str">
        <f>VLOOKUP(A41,snomed2,2,FALSE)</f>
        <v>træk vedr. fødselsprocessen</v>
      </c>
      <c r="Q41" t="str">
        <f>VLOOKUP(A41,snomed2,3,FALSE)</f>
        <v>364328002</v>
      </c>
      <c r="R41" s="27" t="str">
        <f>IF(C41="","",VLOOKUP(C41,svang_snom,3,FALSE))</f>
        <v/>
      </c>
      <c r="S41" s="27" t="str">
        <f>IF(D41="","",VLOOKUP(D41,svang_snom,3,FALSE))</f>
        <v/>
      </c>
      <c r="T41" s="27" t="str">
        <f>IF(E41="","",VLOOKUP(E41,svang_snom,3,FALSE))</f>
        <v/>
      </c>
      <c r="U41" s="27" t="str">
        <f>IF(F41="","",VLOOKUP(F41,svang_snom,3,FALSE))</f>
        <v/>
      </c>
      <c r="V41" s="27" t="str">
        <f>IF(G41="","",VLOOKUP(G41,svang_snom,3,FALSE))</f>
        <v/>
      </c>
      <c r="W41" s="27" t="str">
        <f>IF(H41="","",VLOOKUP(H41,svang_snom,3,FALSE))</f>
        <v/>
      </c>
      <c r="X41" s="118" t="str">
        <f>IF(R41="","",VLOOKUP(R41,snomed,3,FALSE))</f>
        <v/>
      </c>
      <c r="Y41" s="118" t="str">
        <f>IF(S41="","",VLOOKUP(S41,snomed,3,FALSE))</f>
        <v/>
      </c>
      <c r="Z41" s="118" t="str">
        <f>IF(T41="","",VLOOKUP(T41,snomed,3,FALSE))</f>
        <v/>
      </c>
      <c r="AA41" s="118" t="str">
        <f>IF(U41="","",VLOOKUP(U41,snomed,3,FALSE))</f>
        <v/>
      </c>
      <c r="AB41" s="118" t="str">
        <f>IF(V41="","",VLOOKUP(V41,snomed,3,FALSE))</f>
        <v/>
      </c>
      <c r="AC41" s="118" t="str">
        <f>IF(W41="","",VLOOKUP(W41,snomed,3,FALSE))</f>
        <v/>
      </c>
    </row>
    <row r="42" spans="1:29">
      <c r="A42" s="23" t="s">
        <v>77</v>
      </c>
      <c r="D42" s="5"/>
      <c r="E42" s="5"/>
      <c r="F42" s="5"/>
      <c r="G42" s="5"/>
      <c r="H42" s="5"/>
      <c r="P42" t="str">
        <f>VLOOKUP(A42,snomed2,2,FALSE)</f>
        <v>træk vedr. fødselsprocessen</v>
      </c>
      <c r="Q42" t="str">
        <f>VLOOKUP(A42,snomed2,3,FALSE)</f>
        <v>364328002</v>
      </c>
      <c r="R42" s="27" t="str">
        <f>IF(C42="","",VLOOKUP(C42,svang_snom,3,FALSE))</f>
        <v/>
      </c>
      <c r="S42" s="27" t="str">
        <f>IF(D42="","",VLOOKUP(D42,svang_snom,3,FALSE))</f>
        <v/>
      </c>
      <c r="T42" s="27" t="str">
        <f>IF(E42="","",VLOOKUP(E42,svang_snom,3,FALSE))</f>
        <v/>
      </c>
      <c r="U42" s="27" t="str">
        <f>IF(F42="","",VLOOKUP(F42,svang_snom,3,FALSE))</f>
        <v/>
      </c>
      <c r="V42" s="27" t="str">
        <f>IF(G42="","",VLOOKUP(G42,svang_snom,3,FALSE))</f>
        <v/>
      </c>
      <c r="W42" s="27" t="str">
        <f>IF(H42="","",VLOOKUP(H42,svang_snom,3,FALSE))</f>
        <v/>
      </c>
      <c r="X42" s="118" t="str">
        <f>IF(R42="","",VLOOKUP(R42,snomed,3,FALSE))</f>
        <v/>
      </c>
      <c r="Y42" s="118" t="str">
        <f>IF(S42="","",VLOOKUP(S42,snomed,3,FALSE))</f>
        <v/>
      </c>
      <c r="Z42" s="118" t="str">
        <f>IF(T42="","",VLOOKUP(T42,snomed,3,FALSE))</f>
        <v/>
      </c>
      <c r="AA42" s="118" t="str">
        <f>IF(U42="","",VLOOKUP(U42,snomed,3,FALSE))</f>
        <v/>
      </c>
      <c r="AB42" s="118" t="str">
        <f>IF(V42="","",VLOOKUP(V42,snomed,3,FALSE))</f>
        <v/>
      </c>
      <c r="AC42" s="118" t="str">
        <f>IF(W42="","",VLOOKUP(W42,snomed,3,FALSE))</f>
        <v/>
      </c>
    </row>
    <row r="43" spans="1:29">
      <c r="A43" s="23" t="s">
        <v>77</v>
      </c>
      <c r="D43" s="5"/>
      <c r="E43" s="5"/>
      <c r="F43" s="5"/>
      <c r="G43" s="5"/>
      <c r="H43" s="5"/>
      <c r="P43" t="str">
        <f>VLOOKUP(A43,snomed2,2,FALSE)</f>
        <v>træk vedr. fødselsprocessen</v>
      </c>
      <c r="Q43" t="str">
        <f>VLOOKUP(A43,snomed2,3,FALSE)</f>
        <v>364328002</v>
      </c>
      <c r="R43" s="27" t="str">
        <f>IF(C43="","",VLOOKUP(C43,svang_snom,3,FALSE))</f>
        <v/>
      </c>
      <c r="S43" s="27" t="str">
        <f>IF(D43="","",VLOOKUP(D43,svang_snom,3,FALSE))</f>
        <v/>
      </c>
      <c r="T43" s="27" t="str">
        <f>IF(E43="","",VLOOKUP(E43,svang_snom,3,FALSE))</f>
        <v/>
      </c>
      <c r="U43" s="27" t="str">
        <f>IF(F43="","",VLOOKUP(F43,svang_snom,3,FALSE))</f>
        <v/>
      </c>
      <c r="V43" s="27" t="str">
        <f>IF(G43="","",VLOOKUP(G43,svang_snom,3,FALSE))</f>
        <v/>
      </c>
      <c r="W43" s="27" t="str">
        <f>IF(H43="","",VLOOKUP(H43,svang_snom,3,FALSE))</f>
        <v/>
      </c>
      <c r="X43" s="118" t="str">
        <f>IF(R43="","",VLOOKUP(R43,snomed,3,FALSE))</f>
        <v/>
      </c>
      <c r="Y43" s="118" t="str">
        <f>IF(S43="","",VLOOKUP(S43,snomed,3,FALSE))</f>
        <v/>
      </c>
      <c r="Z43" s="118" t="str">
        <f>IF(T43="","",VLOOKUP(T43,snomed,3,FALSE))</f>
        <v/>
      </c>
      <c r="AA43" s="118" t="str">
        <f>IF(U43="","",VLOOKUP(U43,snomed,3,FALSE))</f>
        <v/>
      </c>
      <c r="AB43" s="118" t="str">
        <f>IF(V43="","",VLOOKUP(V43,snomed,3,FALSE))</f>
        <v/>
      </c>
      <c r="AC43" s="118" t="str">
        <f>IF(W43="","",VLOOKUP(W43,snomed,3,FALSE))</f>
        <v/>
      </c>
    </row>
    <row r="44" spans="1:29">
      <c r="A44" s="23" t="s">
        <v>78</v>
      </c>
      <c r="B44" t="s">
        <v>76</v>
      </c>
      <c r="D44" s="5"/>
      <c r="E44" s="5"/>
      <c r="F44" s="5"/>
      <c r="G44" s="5"/>
      <c r="H44" s="5"/>
      <c r="P44" t="str">
        <f>VLOOKUP(A44,snomed2,2,FALSE)</f>
        <v>relevant information</v>
      </c>
      <c r="Q44" t="str">
        <f>VLOOKUP(A44,snomed2,3,FALSE)</f>
        <v>398005008</v>
      </c>
      <c r="X44" s="118" t="str">
        <f>IF(R44="","",VLOOKUP(R44,snomed,3,FALSE))</f>
        <v/>
      </c>
      <c r="Y44" s="118" t="str">
        <f>IF(S44="","",VLOOKUP(S44,snomed,3,FALSE))</f>
        <v/>
      </c>
      <c r="Z44" s="118" t="str">
        <f>IF(T44="","",VLOOKUP(T44,snomed,3,FALSE))</f>
        <v/>
      </c>
      <c r="AA44" s="118" t="str">
        <f>IF(U44="","",VLOOKUP(U44,snomed,3,FALSE))</f>
        <v/>
      </c>
      <c r="AB44" s="118" t="str">
        <f>IF(V44="","",VLOOKUP(V44,snomed,3,FALSE))</f>
        <v/>
      </c>
      <c r="AC44" s="118" t="str">
        <f>IF(W44="","",VLOOKUP(W44,snomed,3,FALSE))</f>
        <v/>
      </c>
    </row>
    <row r="45" spans="1:29">
      <c r="A45" s="23" t="s">
        <v>79</v>
      </c>
      <c r="B45" t="s">
        <v>49</v>
      </c>
      <c r="D45" s="5"/>
      <c r="E45" s="5"/>
      <c r="F45" s="5"/>
      <c r="G45" s="5"/>
      <c r="H45" s="5"/>
      <c r="P45" t="str">
        <f>VLOOKUP(A45,snomed2,2,FALSE)</f>
        <v>fødselsoplevelse</v>
      </c>
      <c r="Q45" t="str">
        <f>VLOOKUP(A45,snomed2,3,FALSE)</f>
        <v>598271000005107</v>
      </c>
      <c r="R45" s="27" t="str">
        <f>IF(C45="","",VLOOKUP(C45,svang_snom,3,FALSE))</f>
        <v/>
      </c>
      <c r="S45" s="27" t="str">
        <f>IF(D45="","",VLOOKUP(D45,svang_snom,3,FALSE))</f>
        <v/>
      </c>
      <c r="T45" s="27" t="str">
        <f>IF(E45="","",VLOOKUP(E45,svang_snom,3,FALSE))</f>
        <v/>
      </c>
      <c r="U45" s="27" t="str">
        <f>IF(F45="","",VLOOKUP(F45,svang_snom,3,FALSE))</f>
        <v/>
      </c>
      <c r="V45" s="27" t="str">
        <f>IF(G45="","",VLOOKUP(G45,svang_snom,3,FALSE))</f>
        <v/>
      </c>
      <c r="W45" s="27" t="str">
        <f>IF(H45="","",VLOOKUP(H45,svang_snom,3,FALSE))</f>
        <v/>
      </c>
      <c r="X45" s="118" t="str">
        <f>IF(R45="","",VLOOKUP(R45,snomed,3,FALSE))</f>
        <v/>
      </c>
      <c r="Y45" s="118" t="str">
        <f>IF(S45="","",VLOOKUP(S45,snomed,3,FALSE))</f>
        <v/>
      </c>
      <c r="Z45" s="118" t="str">
        <f>IF(T45="","",VLOOKUP(T45,snomed,3,FALSE))</f>
        <v/>
      </c>
      <c r="AA45" s="118" t="str">
        <f>IF(U45="","",VLOOKUP(U45,snomed,3,FALSE))</f>
        <v/>
      </c>
      <c r="AB45" s="118" t="str">
        <f>IF(V45="","",VLOOKUP(V45,snomed,3,FALSE))</f>
        <v/>
      </c>
      <c r="AC45" s="118" t="str">
        <f>IF(W45="","",VLOOKUP(W45,snomed,3,FALSE))</f>
        <v/>
      </c>
    </row>
    <row r="46" spans="1:29">
      <c r="A46" s="23" t="s">
        <v>80</v>
      </c>
      <c r="B46" t="s">
        <v>34</v>
      </c>
      <c r="D46" s="5"/>
      <c r="E46" s="5"/>
      <c r="F46" s="5"/>
      <c r="G46" s="5"/>
      <c r="H46" s="5"/>
      <c r="P46" t="str">
        <f>VLOOKUP(A46,snomed2,2,FALSE)</f>
        <v>normalt puerperium</v>
      </c>
      <c r="Q46" t="str">
        <f>VLOOKUP(A46,snomed2,3,FALSE)</f>
        <v>597961000005105</v>
      </c>
      <c r="R46" s="27" t="str">
        <f>IF(C46="","",VLOOKUP(C46,svang_snom,3,FALSE))</f>
        <v/>
      </c>
      <c r="S46" s="27" t="str">
        <f>IF(D46="","",VLOOKUP(D46,svang_snom,3,FALSE))</f>
        <v/>
      </c>
      <c r="T46" s="27" t="str">
        <f>IF(E46="","",VLOOKUP(E46,svang_snom,3,FALSE))</f>
        <v/>
      </c>
      <c r="U46" s="27" t="str">
        <f>IF(F46="","",VLOOKUP(F46,svang_snom,3,FALSE))</f>
        <v/>
      </c>
      <c r="V46" s="27" t="str">
        <f>IF(G46="","",VLOOKUP(G46,svang_snom,3,FALSE))</f>
        <v/>
      </c>
      <c r="W46" s="27" t="str">
        <f>IF(H46="","",VLOOKUP(H46,svang_snom,3,FALSE))</f>
        <v/>
      </c>
      <c r="X46" s="118" t="str">
        <f>IF(R46="","",VLOOKUP(R46,snomed,3,FALSE))</f>
        <v/>
      </c>
      <c r="Y46" s="118" t="str">
        <f>IF(S46="","",VLOOKUP(S46,snomed,3,FALSE))</f>
        <v/>
      </c>
      <c r="Z46" s="118" t="str">
        <f>IF(T46="","",VLOOKUP(T46,snomed,3,FALSE))</f>
        <v/>
      </c>
      <c r="AA46" s="118" t="str">
        <f>IF(U46="","",VLOOKUP(U46,snomed,3,FALSE))</f>
        <v/>
      </c>
      <c r="AB46" s="118" t="str">
        <f>IF(V46="","",VLOOKUP(V46,snomed,3,FALSE))</f>
        <v/>
      </c>
      <c r="AC46" s="118" t="str">
        <f>IF(W46="","",VLOOKUP(W46,snomed,3,FALSE))</f>
        <v/>
      </c>
    </row>
    <row r="47" spans="1:29">
      <c r="A47" s="23" t="s">
        <v>81</v>
      </c>
      <c r="B47" t="s">
        <v>76</v>
      </c>
      <c r="D47" s="5"/>
      <c r="E47" s="5"/>
      <c r="F47" s="5"/>
      <c r="G47" s="5"/>
      <c r="H47" s="5"/>
      <c r="P47" t="str">
        <f>VLOOKUP(A47,snomed2,2,FALSE)</f>
        <v>moderens tilstand i puerperiet</v>
      </c>
      <c r="Q47" t="str">
        <f>VLOOKUP(A47,snomed2,3,FALSE)</f>
        <v>249197004</v>
      </c>
      <c r="X47" s="118" t="str">
        <f>IF(R47="","",VLOOKUP(R47,snomed,3,FALSE))</f>
        <v/>
      </c>
      <c r="Y47" s="118" t="str">
        <f>IF(S47="","",VLOOKUP(S47,snomed,3,FALSE))</f>
        <v/>
      </c>
      <c r="Z47" s="118" t="str">
        <f>IF(T47="","",VLOOKUP(T47,snomed,3,FALSE))</f>
        <v/>
      </c>
      <c r="AA47" s="118" t="str">
        <f>IF(U47="","",VLOOKUP(U47,snomed,3,FALSE))</f>
        <v/>
      </c>
      <c r="AB47" s="118" t="str">
        <f>IF(V47="","",VLOOKUP(V47,snomed,3,FALSE))</f>
        <v/>
      </c>
      <c r="AC47" s="118" t="str">
        <f>IF(W47="","",VLOOKUP(W47,snomed,3,FALSE))</f>
        <v/>
      </c>
    </row>
    <row r="48" spans="1:29">
      <c r="A48" s="22" t="s">
        <v>82</v>
      </c>
      <c r="C48" s="4" t="s">
        <v>83</v>
      </c>
      <c r="D48" s="6" t="s">
        <v>84</v>
      </c>
      <c r="E48" s="6" t="s">
        <v>85</v>
      </c>
      <c r="F48" s="6" t="s">
        <v>86</v>
      </c>
      <c r="G48" s="6" t="s">
        <v>87</v>
      </c>
      <c r="H48" s="6" t="s">
        <v>88</v>
      </c>
      <c r="P48" t="str">
        <f>VLOOKUP(A48,snomed2,2,FALSE)</f>
        <v>oplysninger om egne børn</v>
      </c>
      <c r="Q48" t="str">
        <f>VLOOKUP(A48,snomed2,3,FALSE)</f>
        <v>224117009</v>
      </c>
      <c r="X48" s="118" t="str">
        <f>IF(R48="","",VLOOKUP(R48,snomed,3,FALSE))</f>
        <v/>
      </c>
      <c r="Y48" s="118" t="str">
        <f>IF(S48="","",VLOOKUP(S48,snomed,3,FALSE))</f>
        <v/>
      </c>
      <c r="Z48" s="118" t="str">
        <f>IF(T48="","",VLOOKUP(T48,snomed,3,FALSE))</f>
        <v/>
      </c>
      <c r="AA48" s="118" t="str">
        <f>IF(U48="","",VLOOKUP(U48,snomed,3,FALSE))</f>
        <v/>
      </c>
      <c r="AB48" s="118" t="str">
        <f>IF(V48="","",VLOOKUP(V48,snomed,3,FALSE))</f>
        <v/>
      </c>
      <c r="AC48" s="118" t="str">
        <f>IF(W48="","",VLOOKUP(W48,snomed,3,FALSE))</f>
        <v/>
      </c>
    </row>
    <row r="49" spans="1:29">
      <c r="A49" s="23" t="s">
        <v>89</v>
      </c>
      <c r="B49" t="s">
        <v>49</v>
      </c>
      <c r="D49" s="5"/>
      <c r="E49" s="5"/>
      <c r="F49" s="5"/>
      <c r="G49" s="5"/>
      <c r="H49" s="5"/>
      <c r="P49" t="str">
        <f>VLOOKUP(A49,snomed2,2,FALSE)</f>
        <v>fødselsudfald</v>
      </c>
      <c r="Q49" t="str">
        <f>VLOOKUP(A49,snomed2,3,FALSE)</f>
        <v>364587008</v>
      </c>
      <c r="R49" s="27" t="str">
        <f>IF(C49="","",VLOOKUP(C49,svang_snom,3,FALSE))</f>
        <v/>
      </c>
      <c r="S49" s="27" t="str">
        <f>IF(D49="","",VLOOKUP(D49,svang_snom,3,FALSE))</f>
        <v/>
      </c>
      <c r="T49" s="27" t="str">
        <f>IF(E49="","",VLOOKUP(E49,svang_snom,3,FALSE))</f>
        <v/>
      </c>
      <c r="U49" s="27" t="str">
        <f>IF(F49="","",VLOOKUP(F49,svang_snom,3,FALSE))</f>
        <v/>
      </c>
      <c r="V49" s="27" t="str">
        <f>IF(G49="","",VLOOKUP(G49,svang_snom,3,FALSE))</f>
        <v/>
      </c>
      <c r="W49" s="27" t="str">
        <f>IF(H49="","",VLOOKUP(H49,svang_snom,3,FALSE))</f>
        <v/>
      </c>
      <c r="X49" s="118" t="str">
        <f>IF(R49="","",VLOOKUP(R49,snomed,3,FALSE))</f>
        <v/>
      </c>
      <c r="Y49" s="118" t="str">
        <f>IF(S49="","",VLOOKUP(S49,snomed,3,FALSE))</f>
        <v/>
      </c>
      <c r="Z49" s="118" t="str">
        <f>IF(T49="","",VLOOKUP(T49,snomed,3,FALSE))</f>
        <v/>
      </c>
      <c r="AA49" s="118" t="str">
        <f>IF(U49="","",VLOOKUP(U49,snomed,3,FALSE))</f>
        <v/>
      </c>
      <c r="AB49" s="118" t="str">
        <f>IF(V49="","",VLOOKUP(V49,snomed,3,FALSE))</f>
        <v/>
      </c>
      <c r="AC49" s="118" t="str">
        <f>IF(W49="","",VLOOKUP(W49,snomed,3,FALSE))</f>
        <v/>
      </c>
    </row>
    <row r="50" spans="1:29">
      <c r="A50" s="23" t="s">
        <v>90</v>
      </c>
      <c r="B50" t="s">
        <v>34</v>
      </c>
      <c r="D50" s="5"/>
      <c r="E50" s="5"/>
      <c r="F50" s="5"/>
      <c r="G50" s="5"/>
      <c r="H50" s="5"/>
      <c r="P50" t="str">
        <f>VLOOKUP(A50,snomed2,2,FALSE)</f>
        <v>barnedød</v>
      </c>
      <c r="Q50" t="str">
        <f>VLOOKUP(A50,snomed2,3,FALSE)</f>
        <v>598121000005103</v>
      </c>
      <c r="R50" s="27" t="str">
        <f>IF(C50="","",VLOOKUP(C50,svang_snom,3,FALSE))</f>
        <v/>
      </c>
      <c r="S50" s="27" t="str">
        <f>IF(D50="","",VLOOKUP(D50,svang_snom,3,FALSE))</f>
        <v/>
      </c>
      <c r="T50" s="27" t="str">
        <f>IF(E50="","",VLOOKUP(E50,svang_snom,3,FALSE))</f>
        <v/>
      </c>
      <c r="U50" s="27" t="str">
        <f>IF(F50="","",VLOOKUP(F50,svang_snom,3,FALSE))</f>
        <v/>
      </c>
      <c r="V50" s="27" t="str">
        <f>IF(G50="","",VLOOKUP(G50,svang_snom,3,FALSE))</f>
        <v/>
      </c>
      <c r="W50" s="27" t="str">
        <f>IF(H50="","",VLOOKUP(H50,svang_snom,3,FALSE))</f>
        <v/>
      </c>
      <c r="X50" s="118" t="str">
        <f>IF(R50="","",VLOOKUP(R50,snomed,3,FALSE))</f>
        <v/>
      </c>
      <c r="Y50" s="118" t="str">
        <f>IF(S50="","",VLOOKUP(S50,snomed,3,FALSE))</f>
        <v/>
      </c>
      <c r="Z50" s="118" t="str">
        <f>IF(T50="","",VLOOKUP(T50,snomed,3,FALSE))</f>
        <v/>
      </c>
      <c r="AA50" s="118" t="str">
        <f>IF(U50="","",VLOOKUP(U50,snomed,3,FALSE))</f>
        <v/>
      </c>
      <c r="AB50" s="118" t="str">
        <f>IF(V50="","",VLOOKUP(V50,snomed,3,FALSE))</f>
        <v/>
      </c>
      <c r="AC50" s="118" t="str">
        <f>IF(W50="","",VLOOKUP(W50,snomed,3,FALSE))</f>
        <v/>
      </c>
    </row>
    <row r="51" spans="1:29">
      <c r="A51" s="23" t="s">
        <v>91</v>
      </c>
      <c r="B51" t="s">
        <v>49</v>
      </c>
      <c r="D51" s="5"/>
      <c r="E51" s="5"/>
      <c r="F51" s="5"/>
      <c r="G51" s="5"/>
      <c r="H51" s="5"/>
      <c r="P51" t="str">
        <f>VLOOKUP(A51,snomed2,2,FALSE)</f>
        <v>køn</v>
      </c>
      <c r="Q51" t="str">
        <f>VLOOKUP(A51,snomed2,3,FALSE)</f>
        <v>263495000</v>
      </c>
      <c r="R51" s="27" t="str">
        <f>IF(C51="","",VLOOKUP(C51,køn,3,FALSE))</f>
        <v/>
      </c>
      <c r="S51" s="27" t="str">
        <f>IF(D51="","",VLOOKUP(D51,køn,3,FALSE))</f>
        <v/>
      </c>
      <c r="T51" s="27" t="str">
        <f>IF(E51="","",VLOOKUP(E51,køn,3,FALSE))</f>
        <v/>
      </c>
      <c r="U51" s="27" t="str">
        <f>IF(F51="","",VLOOKUP(F51,køn,3,FALSE))</f>
        <v/>
      </c>
      <c r="V51" s="27" t="str">
        <f>IF(G51="","",VLOOKUP(G51,køn,3,FALSE))</f>
        <v/>
      </c>
      <c r="W51" s="27" t="str">
        <f>IF(H51="","",VLOOKUP(H51,køn,3,FALSE))</f>
        <v/>
      </c>
      <c r="X51" s="118" t="str">
        <f>IF(R51="","",VLOOKUP(R51,snomed,3,FALSE))</f>
        <v/>
      </c>
      <c r="Y51" s="118" t="str">
        <f>IF(S51="","",VLOOKUP(S51,snomed,3,FALSE))</f>
        <v/>
      </c>
      <c r="Z51" s="118" t="str">
        <f>IF(T51="","",VLOOKUP(T51,snomed,3,FALSE))</f>
        <v/>
      </c>
      <c r="AA51" s="118" t="str">
        <f>IF(U51="","",VLOOKUP(U51,snomed,3,FALSE))</f>
        <v/>
      </c>
      <c r="AB51" s="118" t="str">
        <f>IF(V51="","",VLOOKUP(V51,snomed,3,FALSE))</f>
        <v/>
      </c>
      <c r="AC51" s="118" t="str">
        <f>IF(W51="","",VLOOKUP(W51,snomed,3,FALSE))</f>
        <v/>
      </c>
    </row>
    <row r="52" spans="1:29">
      <c r="A52" s="23" t="s">
        <v>92</v>
      </c>
      <c r="B52" t="s">
        <v>70</v>
      </c>
      <c r="D52" s="5"/>
      <c r="E52" s="5"/>
      <c r="F52" s="5"/>
      <c r="G52" s="5"/>
      <c r="H52" s="5"/>
      <c r="P52" t="str">
        <f>VLOOKUP(A52,snomed2,2,FALSE)</f>
        <v>fødselsvægt</v>
      </c>
      <c r="Q52" t="str">
        <f>VLOOKUP(A52,snomed2,3,FALSE)</f>
        <v>364589006</v>
      </c>
      <c r="X52" s="118" t="str">
        <f>IF(R52="","",VLOOKUP(R52,snomed,3,FALSE))</f>
        <v/>
      </c>
      <c r="Y52" s="118" t="str">
        <f>IF(S52="","",VLOOKUP(S52,snomed,3,FALSE))</f>
        <v/>
      </c>
      <c r="Z52" s="118" t="str">
        <f>IF(T52="","",VLOOKUP(T52,snomed,3,FALSE))</f>
        <v/>
      </c>
      <c r="AA52" s="118" t="str">
        <f>IF(U52="","",VLOOKUP(U52,snomed,3,FALSE))</f>
        <v/>
      </c>
      <c r="AB52" s="118" t="str">
        <f>IF(V52="","",VLOOKUP(V52,snomed,3,FALSE))</f>
        <v/>
      </c>
      <c r="AC52" s="118" t="str">
        <f>IF(W52="","",VLOOKUP(W52,snomed,3,FALSE))</f>
        <v/>
      </c>
    </row>
    <row r="53" spans="1:29">
      <c r="A53" s="23" t="s">
        <v>93</v>
      </c>
      <c r="B53" t="s">
        <v>76</v>
      </c>
      <c r="D53" s="5"/>
      <c r="E53" s="5"/>
      <c r="F53" s="5"/>
      <c r="G53" s="5"/>
      <c r="H53" s="5"/>
      <c r="P53" t="str">
        <f>VLOOKUP(A53,snomed2,2,FALSE)</f>
        <v>neonataltilstand</v>
      </c>
      <c r="Q53" t="str">
        <f>VLOOKUP(A53,snomed2,3,FALSE)</f>
        <v>249222005</v>
      </c>
      <c r="X53" s="118" t="str">
        <f>IF(R53="","",VLOOKUP(R53,snomed,3,FALSE))</f>
        <v/>
      </c>
      <c r="Y53" s="118" t="str">
        <f>IF(S53="","",VLOOKUP(S53,snomed,3,FALSE))</f>
        <v/>
      </c>
      <c r="Z53" s="118" t="str">
        <f>IF(T53="","",VLOOKUP(T53,snomed,3,FALSE))</f>
        <v/>
      </c>
      <c r="AA53" s="118" t="str">
        <f>IF(U53="","",VLOOKUP(U53,snomed,3,FALSE))</f>
        <v/>
      </c>
      <c r="AB53" s="118" t="str">
        <f>IF(V53="","",VLOOKUP(V53,snomed,3,FALSE))</f>
        <v/>
      </c>
      <c r="AC53" s="118" t="str">
        <f>IF(W53="","",VLOOKUP(W53,snomed,3,FALSE))</f>
        <v/>
      </c>
    </row>
    <row r="54" spans="1:29">
      <c r="A54" s="23" t="s">
        <v>94</v>
      </c>
      <c r="B54" t="s">
        <v>40</v>
      </c>
      <c r="D54" s="5"/>
      <c r="E54" s="5"/>
      <c r="F54" s="5"/>
      <c r="G54" s="5"/>
      <c r="H54" s="5"/>
      <c r="P54" t="str">
        <f>VLOOKUP(A54,snomed2,2,FALSE)</f>
        <v>helbredstilstand hos barn</v>
      </c>
      <c r="Q54" t="str">
        <f>VLOOKUP(A54,snomed2,3,FALSE)</f>
        <v>617951000005104</v>
      </c>
      <c r="X54" s="118" t="str">
        <f>IF(R54="","",VLOOKUP(R54,snomed,3,FALSE))</f>
        <v/>
      </c>
      <c r="Y54" s="118" t="str">
        <f>IF(S54="","",VLOOKUP(S54,snomed,3,FALSE))</f>
        <v/>
      </c>
      <c r="Z54" s="118" t="str">
        <f>IF(T54="","",VLOOKUP(T54,snomed,3,FALSE))</f>
        <v/>
      </c>
      <c r="AA54" s="118" t="str">
        <f>IF(U54="","",VLOOKUP(U54,snomed,3,FALSE))</f>
        <v/>
      </c>
      <c r="AB54" s="118" t="str">
        <f>IF(V54="","",VLOOKUP(V54,snomed,3,FALSE))</f>
        <v/>
      </c>
      <c r="AC54" s="118" t="str">
        <f>IF(W54="","",VLOOKUP(W54,snomed,3,FALSE))</f>
        <v/>
      </c>
    </row>
    <row r="55" spans="1:29">
      <c r="A55" s="22" t="s">
        <v>82</v>
      </c>
      <c r="C55" s="4" t="s">
        <v>95</v>
      </c>
      <c r="D55" s="6" t="s">
        <v>96</v>
      </c>
      <c r="E55" s="6" t="s">
        <v>97</v>
      </c>
      <c r="F55" s="6" t="s">
        <v>98</v>
      </c>
      <c r="G55" s="6" t="s">
        <v>99</v>
      </c>
      <c r="H55" s="6" t="s">
        <v>100</v>
      </c>
      <c r="P55" t="str">
        <f>VLOOKUP(A55,snomed2,2,FALSE)</f>
        <v>oplysninger om egne børn</v>
      </c>
      <c r="Q55" t="str">
        <f>VLOOKUP(A55,snomed2,3,FALSE)</f>
        <v>224117009</v>
      </c>
      <c r="X55" s="118" t="str">
        <f>IF(R55="","",VLOOKUP(R55,snomed,3,FALSE))</f>
        <v/>
      </c>
      <c r="Y55" s="118" t="str">
        <f>IF(S55="","",VLOOKUP(S55,snomed,3,FALSE))</f>
        <v/>
      </c>
      <c r="Z55" s="118" t="str">
        <f>IF(T55="","",VLOOKUP(T55,snomed,3,FALSE))</f>
        <v/>
      </c>
      <c r="AA55" s="118" t="str">
        <f>IF(U55="","",VLOOKUP(U55,snomed,3,FALSE))</f>
        <v/>
      </c>
      <c r="AB55" s="118" t="str">
        <f>IF(V55="","",VLOOKUP(V55,snomed,3,FALSE))</f>
        <v/>
      </c>
      <c r="AC55" s="118" t="str">
        <f>IF(W55="","",VLOOKUP(W55,snomed,3,FALSE))</f>
        <v/>
      </c>
    </row>
    <row r="56" spans="1:29">
      <c r="A56" s="23" t="s">
        <v>89</v>
      </c>
      <c r="B56" t="s">
        <v>49</v>
      </c>
      <c r="D56" s="5"/>
      <c r="E56" s="5"/>
      <c r="F56" s="5"/>
      <c r="G56" s="5"/>
      <c r="H56" s="5"/>
      <c r="P56" t="str">
        <f>VLOOKUP(A56,snomed2,2,FALSE)</f>
        <v>fødselsudfald</v>
      </c>
      <c r="Q56" t="str">
        <f>VLOOKUP(A56,snomed2,3,FALSE)</f>
        <v>364587008</v>
      </c>
      <c r="R56" s="27" t="str">
        <f>IF(C56="","",VLOOKUP(C56,svang_snom,3,FALSE))</f>
        <v/>
      </c>
      <c r="S56" s="27" t="str">
        <f>IF(D56="","",VLOOKUP(D56,svang_snom,3,FALSE))</f>
        <v/>
      </c>
      <c r="T56" s="27" t="str">
        <f>IF(E56="","",VLOOKUP(E56,svang_snom,3,FALSE))</f>
        <v/>
      </c>
      <c r="U56" s="27" t="str">
        <f>IF(F56="","",VLOOKUP(F56,svang_snom,3,FALSE))</f>
        <v/>
      </c>
      <c r="V56" s="27" t="str">
        <f>IF(G56="","",VLOOKUP(G56,svang_snom,3,FALSE))</f>
        <v/>
      </c>
      <c r="W56" s="27" t="str">
        <f>IF(H56="","",VLOOKUP(H56,svang_snom,3,FALSE))</f>
        <v/>
      </c>
      <c r="X56" s="118" t="str">
        <f>IF(R56="","",VLOOKUP(R56,snomed,3,FALSE))</f>
        <v/>
      </c>
      <c r="Y56" s="118" t="str">
        <f>IF(S56="","",VLOOKUP(S56,snomed,3,FALSE))</f>
        <v/>
      </c>
      <c r="Z56" s="118" t="str">
        <f>IF(T56="","",VLOOKUP(T56,snomed,3,FALSE))</f>
        <v/>
      </c>
      <c r="AA56" s="118" t="str">
        <f>IF(U56="","",VLOOKUP(U56,snomed,3,FALSE))</f>
        <v/>
      </c>
      <c r="AB56" s="118" t="str">
        <f>IF(V56="","",VLOOKUP(V56,snomed,3,FALSE))</f>
        <v/>
      </c>
      <c r="AC56" s="118" t="str">
        <f>IF(W56="","",VLOOKUP(W56,snomed,3,FALSE))</f>
        <v/>
      </c>
    </row>
    <row r="57" spans="1:29">
      <c r="A57" s="23" t="s">
        <v>90</v>
      </c>
      <c r="B57" t="s">
        <v>34</v>
      </c>
      <c r="D57" s="5"/>
      <c r="E57" s="5"/>
      <c r="F57" s="5"/>
      <c r="G57" s="5"/>
      <c r="H57" s="5"/>
      <c r="P57" t="str">
        <f>VLOOKUP(A57,snomed2,2,FALSE)</f>
        <v>barnedød</v>
      </c>
      <c r="Q57" t="str">
        <f>VLOOKUP(A57,snomed2,3,FALSE)</f>
        <v>598121000005103</v>
      </c>
      <c r="R57" s="27" t="str">
        <f>IF(C57="","",VLOOKUP(C57,svang_snom,3,FALSE))</f>
        <v/>
      </c>
      <c r="S57" s="27" t="str">
        <f>IF(D57="","",VLOOKUP(D57,svang_snom,3,FALSE))</f>
        <v/>
      </c>
      <c r="T57" s="27" t="str">
        <f>IF(E57="","",VLOOKUP(E57,svang_snom,3,FALSE))</f>
        <v/>
      </c>
      <c r="U57" s="27" t="str">
        <f>IF(F57="","",VLOOKUP(F57,svang_snom,3,FALSE))</f>
        <v/>
      </c>
      <c r="V57" s="27" t="str">
        <f>IF(G57="","",VLOOKUP(G57,svang_snom,3,FALSE))</f>
        <v/>
      </c>
      <c r="W57" s="27" t="str">
        <f>IF(H57="","",VLOOKUP(H57,svang_snom,3,FALSE))</f>
        <v/>
      </c>
      <c r="X57" s="118" t="str">
        <f>IF(R57="","",VLOOKUP(R57,snomed,3,FALSE))</f>
        <v/>
      </c>
      <c r="Y57" s="118" t="str">
        <f>IF(S57="","",VLOOKUP(S57,snomed,3,FALSE))</f>
        <v/>
      </c>
      <c r="Z57" s="118" t="str">
        <f>IF(T57="","",VLOOKUP(T57,snomed,3,FALSE))</f>
        <v/>
      </c>
      <c r="AA57" s="118" t="str">
        <f>IF(U57="","",VLOOKUP(U57,snomed,3,FALSE))</f>
        <v/>
      </c>
      <c r="AB57" s="118" t="str">
        <f>IF(V57="","",VLOOKUP(V57,snomed,3,FALSE))</f>
        <v/>
      </c>
      <c r="AC57" s="118" t="str">
        <f>IF(W57="","",VLOOKUP(W57,snomed,3,FALSE))</f>
        <v/>
      </c>
    </row>
    <row r="58" spans="1:29">
      <c r="A58" s="23" t="s">
        <v>91</v>
      </c>
      <c r="B58" t="s">
        <v>49</v>
      </c>
      <c r="D58" s="5"/>
      <c r="E58" s="5"/>
      <c r="F58" s="5"/>
      <c r="G58" s="5"/>
      <c r="H58" s="5"/>
      <c r="P58" t="str">
        <f>VLOOKUP(A58,snomed2,2,FALSE)</f>
        <v>køn</v>
      </c>
      <c r="Q58" t="str">
        <f>VLOOKUP(A58,snomed2,3,FALSE)</f>
        <v>263495000</v>
      </c>
      <c r="R58" s="27" t="str">
        <f>IF(C58="","",VLOOKUP(C58,køn,3,FALSE))</f>
        <v/>
      </c>
      <c r="S58" s="27" t="str">
        <f>IF(D58="","",VLOOKUP(D58,køn,3,FALSE))</f>
        <v/>
      </c>
      <c r="T58" s="27" t="str">
        <f>IF(E58="","",VLOOKUP(E58,køn,3,FALSE))</f>
        <v/>
      </c>
      <c r="U58" s="27" t="str">
        <f>IF(F58="","",VLOOKUP(F58,køn,3,FALSE))</f>
        <v/>
      </c>
      <c r="V58" s="27" t="str">
        <f>IF(G58="","",VLOOKUP(G58,køn,3,FALSE))</f>
        <v/>
      </c>
      <c r="W58" s="27" t="str">
        <f>IF(H58="","",VLOOKUP(H58,køn,3,FALSE))</f>
        <v/>
      </c>
      <c r="X58" s="118" t="str">
        <f>IF(R58="","",VLOOKUP(R58,snomed,3,FALSE))</f>
        <v/>
      </c>
      <c r="Y58" s="118" t="str">
        <f>IF(S58="","",VLOOKUP(S58,snomed,3,FALSE))</f>
        <v/>
      </c>
      <c r="Z58" s="118" t="str">
        <f>IF(T58="","",VLOOKUP(T58,snomed,3,FALSE))</f>
        <v/>
      </c>
      <c r="AA58" s="118" t="str">
        <f>IF(U58="","",VLOOKUP(U58,snomed,3,FALSE))</f>
        <v/>
      </c>
      <c r="AB58" s="118" t="str">
        <f>IF(V58="","",VLOOKUP(V58,snomed,3,FALSE))</f>
        <v/>
      </c>
      <c r="AC58" s="118" t="str">
        <f>IF(W58="","",VLOOKUP(W58,snomed,3,FALSE))</f>
        <v/>
      </c>
    </row>
    <row r="59" spans="1:29">
      <c r="A59" s="23" t="s">
        <v>92</v>
      </c>
      <c r="B59" t="s">
        <v>70</v>
      </c>
      <c r="D59" s="5"/>
      <c r="E59" s="5"/>
      <c r="F59" s="5"/>
      <c r="G59" s="5"/>
      <c r="H59" s="5"/>
      <c r="P59" t="str">
        <f>VLOOKUP(A59,snomed2,2,FALSE)</f>
        <v>fødselsvægt</v>
      </c>
      <c r="Q59" t="str">
        <f>VLOOKUP(A59,snomed2,3,FALSE)</f>
        <v>364589006</v>
      </c>
      <c r="R59" s="2"/>
      <c r="X59" s="118" t="str">
        <f>IF(R59="","",VLOOKUP(R59,snomed,3,FALSE))</f>
        <v/>
      </c>
      <c r="Y59" s="118" t="str">
        <f>IF(S59="","",VLOOKUP(S59,snomed,3,FALSE))</f>
        <v/>
      </c>
      <c r="Z59" s="118" t="str">
        <f>IF(T59="","",VLOOKUP(T59,snomed,3,FALSE))</f>
        <v/>
      </c>
      <c r="AA59" s="118" t="str">
        <f>IF(U59="","",VLOOKUP(U59,snomed,3,FALSE))</f>
        <v/>
      </c>
      <c r="AB59" s="118" t="str">
        <f>IF(V59="","",VLOOKUP(V59,snomed,3,FALSE))</f>
        <v/>
      </c>
      <c r="AC59" s="118" t="str">
        <f>IF(W59="","",VLOOKUP(W59,snomed,3,FALSE))</f>
        <v/>
      </c>
    </row>
    <row r="60" spans="1:29">
      <c r="A60" s="23" t="s">
        <v>93</v>
      </c>
      <c r="B60" t="s">
        <v>76</v>
      </c>
      <c r="D60" s="5"/>
      <c r="E60" s="5"/>
      <c r="F60" s="5"/>
      <c r="G60" s="5"/>
      <c r="H60" s="5"/>
      <c r="P60" t="str">
        <f>VLOOKUP(A60,snomed2,2,FALSE)</f>
        <v>neonataltilstand</v>
      </c>
      <c r="Q60" t="str">
        <f>VLOOKUP(A60,snomed2,3,FALSE)</f>
        <v>249222005</v>
      </c>
      <c r="R60" s="2"/>
      <c r="X60" s="118" t="str">
        <f>IF(R60="","",VLOOKUP(R60,snomed,3,FALSE))</f>
        <v/>
      </c>
      <c r="Y60" s="118" t="str">
        <f>IF(S60="","",VLOOKUP(S60,snomed,3,FALSE))</f>
        <v/>
      </c>
      <c r="Z60" s="118" t="str">
        <f>IF(T60="","",VLOOKUP(T60,snomed,3,FALSE))</f>
        <v/>
      </c>
      <c r="AA60" s="118" t="str">
        <f>IF(U60="","",VLOOKUP(U60,snomed,3,FALSE))</f>
        <v/>
      </c>
      <c r="AB60" s="118" t="str">
        <f>IF(V60="","",VLOOKUP(V60,snomed,3,FALSE))</f>
        <v/>
      </c>
      <c r="AC60" s="118" t="str">
        <f>IF(W60="","",VLOOKUP(W60,snomed,3,FALSE))</f>
        <v/>
      </c>
    </row>
    <row r="61" spans="1:29">
      <c r="A61" s="23" t="s">
        <v>94</v>
      </c>
      <c r="B61" t="s">
        <v>40</v>
      </c>
      <c r="D61" s="5"/>
      <c r="E61" s="5"/>
      <c r="F61" s="5"/>
      <c r="G61" s="5"/>
      <c r="H61" s="5"/>
      <c r="P61" t="str">
        <f>VLOOKUP(A61,snomed2,2,FALSE)</f>
        <v>helbredstilstand hos barn</v>
      </c>
      <c r="Q61" t="str">
        <f>VLOOKUP(A61,snomed2,3,FALSE)</f>
        <v>617951000005104</v>
      </c>
      <c r="R61" s="2"/>
      <c r="X61" s="118" t="str">
        <f>IF(R61="","",VLOOKUP(R61,snomed,3,FALSE))</f>
        <v/>
      </c>
      <c r="Y61" s="118" t="str">
        <f>IF(S61="","",VLOOKUP(S61,snomed,3,FALSE))</f>
        <v/>
      </c>
      <c r="Z61" s="118" t="str">
        <f>IF(T61="","",VLOOKUP(T61,snomed,3,FALSE))</f>
        <v/>
      </c>
      <c r="AA61" s="118" t="str">
        <f>IF(U61="","",VLOOKUP(U61,snomed,3,FALSE))</f>
        <v/>
      </c>
      <c r="AB61" s="118" t="str">
        <f>IF(V61="","",VLOOKUP(V61,snomed,3,FALSE))</f>
        <v/>
      </c>
      <c r="AC61" s="118" t="str">
        <f>IF(W61="","",VLOOKUP(W61,snomed,3,FALSE))</f>
        <v/>
      </c>
    </row>
    <row r="62" spans="1:29">
      <c r="A62" s="22" t="s">
        <v>101</v>
      </c>
      <c r="R62" s="2"/>
      <c r="X62" s="118" t="str">
        <f>IF(R62="","",VLOOKUP(R62,snomed,3,FALSE))</f>
        <v/>
      </c>
      <c r="Y62" s="118" t="str">
        <f>IF(S62="","",VLOOKUP(S62,snomed,3,FALSE))</f>
        <v/>
      </c>
      <c r="Z62" s="118" t="str">
        <f>IF(T62="","",VLOOKUP(T62,snomed,3,FALSE))</f>
        <v/>
      </c>
      <c r="AA62" s="118" t="str">
        <f>IF(U62="","",VLOOKUP(U62,snomed,3,FALSE))</f>
        <v/>
      </c>
      <c r="AB62" s="118" t="str">
        <f>IF(V62="","",VLOOKUP(V62,snomed,3,FALSE))</f>
        <v/>
      </c>
      <c r="AC62" s="118" t="str">
        <f>IF(W62="","",VLOOKUP(W62,snomed,3,FALSE))</f>
        <v/>
      </c>
    </row>
    <row r="63" spans="1:29">
      <c r="A63" s="23" t="s">
        <v>102</v>
      </c>
      <c r="B63" t="s">
        <v>59</v>
      </c>
      <c r="C63">
        <v>0</v>
      </c>
      <c r="R63" s="2"/>
      <c r="X63" s="118" t="str">
        <f>IF(R63="","",VLOOKUP(R63,snomed,3,FALSE))</f>
        <v/>
      </c>
      <c r="Y63" s="118" t="str">
        <f>IF(S63="","",VLOOKUP(S63,snomed,3,FALSE))</f>
        <v/>
      </c>
      <c r="Z63" s="118" t="str">
        <f>IF(T63="","",VLOOKUP(T63,snomed,3,FALSE))</f>
        <v/>
      </c>
      <c r="AA63" s="118" t="str">
        <f>IF(U63="","",VLOOKUP(U63,snomed,3,FALSE))</f>
        <v/>
      </c>
      <c r="AB63" s="118" t="str">
        <f>IF(V63="","",VLOOKUP(V63,snomed,3,FALSE))</f>
        <v/>
      </c>
      <c r="AC63" s="118" t="str">
        <f>IF(W63="","",VLOOKUP(W63,snomed,3,FALSE))</f>
        <v/>
      </c>
    </row>
    <row r="64" spans="1:29">
      <c r="A64" s="22" t="s">
        <v>103</v>
      </c>
      <c r="C64" s="4" t="s">
        <v>104</v>
      </c>
      <c r="D64" s="4" t="s">
        <v>105</v>
      </c>
      <c r="E64" s="4" t="s">
        <v>106</v>
      </c>
      <c r="F64" s="4" t="s">
        <v>107</v>
      </c>
      <c r="G64" s="4" t="s">
        <v>108</v>
      </c>
      <c r="H64" s="4" t="s">
        <v>109</v>
      </c>
      <c r="P64" t="str">
        <f>VLOOKUP(A64,snomed2,2,FALSE)</f>
        <v>anamnese med abort</v>
      </c>
      <c r="Q64" t="str">
        <f>VLOOKUP(A64,snomed2,3,FALSE)</f>
        <v>713651007</v>
      </c>
      <c r="R64" s="2"/>
      <c r="X64" s="118" t="str">
        <f>IF(R64="","",VLOOKUP(R64,snomed,3,FALSE))</f>
        <v/>
      </c>
      <c r="Y64" s="118" t="str">
        <f>IF(S64="","",VLOOKUP(S64,snomed,3,FALSE))</f>
        <v/>
      </c>
      <c r="Z64" s="118" t="str">
        <f>IF(T64="","",VLOOKUP(T64,snomed,3,FALSE))</f>
        <v/>
      </c>
      <c r="AA64" s="118" t="str">
        <f>IF(U64="","",VLOOKUP(U64,snomed,3,FALSE))</f>
        <v/>
      </c>
      <c r="AB64" s="118" t="str">
        <f>IF(V64="","",VLOOKUP(V64,snomed,3,FALSE))</f>
        <v/>
      </c>
      <c r="AC64" s="118" t="str">
        <f>IF(W64="","",VLOOKUP(W64,snomed,3,FALSE))</f>
        <v/>
      </c>
    </row>
    <row r="65" spans="1:29">
      <c r="A65" s="23" t="s">
        <v>110</v>
      </c>
      <c r="B65" t="s">
        <v>49</v>
      </c>
      <c r="D65" s="5"/>
      <c r="E65" s="5"/>
      <c r="F65" s="5"/>
      <c r="G65" s="5"/>
      <c r="H65" s="5"/>
      <c r="P65" t="str">
        <f>VLOOKUP(A65,snomed2,2,FALSE)</f>
        <v>træk vedr. spontan eller provokeret abort</v>
      </c>
      <c r="Q65" t="str">
        <f>VLOOKUP(A65,snomed2,3,FALSE)</f>
        <v>597931000005103</v>
      </c>
      <c r="R65" s="27" t="str">
        <f>IF(C65="","",VLOOKUP(C65,svang_snom,3,FALSE))</f>
        <v/>
      </c>
      <c r="S65" s="27" t="str">
        <f>IF(D65="","",VLOOKUP(D65,svang_snom,3,FALSE))</f>
        <v/>
      </c>
      <c r="T65" s="27" t="str">
        <f>IF(E65="","",VLOOKUP(E65,svang_snom,3,FALSE))</f>
        <v/>
      </c>
      <c r="U65" s="27" t="str">
        <f>IF(F65="","",VLOOKUP(F65,svang_snom,3,FALSE))</f>
        <v/>
      </c>
      <c r="V65" s="27" t="str">
        <f>IF(G65="","",VLOOKUP(G65,svang_snom,3,FALSE))</f>
        <v/>
      </c>
      <c r="W65" s="27" t="str">
        <f>IF(H65="","",VLOOKUP(H65,svang_snom,3,FALSE))</f>
        <v/>
      </c>
      <c r="X65" s="118" t="str">
        <f>IF(R65="","",VLOOKUP(R65,snomed,3,FALSE))</f>
        <v/>
      </c>
      <c r="Y65" s="118" t="str">
        <f>IF(S65="","",VLOOKUP(S65,snomed,3,FALSE))</f>
        <v/>
      </c>
      <c r="Z65" s="118" t="str">
        <f>IF(T65="","",VLOOKUP(T65,snomed,3,FALSE))</f>
        <v/>
      </c>
      <c r="AA65" s="118" t="str">
        <f>IF(U65="","",VLOOKUP(U65,snomed,3,FALSE))</f>
        <v/>
      </c>
      <c r="AB65" s="118" t="str">
        <f>IF(V65="","",VLOOKUP(V65,snomed,3,FALSE))</f>
        <v/>
      </c>
      <c r="AC65" s="118" t="str">
        <f>IF(W65="","",VLOOKUP(W65,snomed,3,FALSE))</f>
        <v/>
      </c>
    </row>
    <row r="66" spans="1:29">
      <c r="A66" s="23" t="s">
        <v>111</v>
      </c>
      <c r="B66" t="s">
        <v>43</v>
      </c>
      <c r="D66" s="5"/>
      <c r="E66" s="5"/>
      <c r="F66" s="5"/>
      <c r="G66" s="5"/>
      <c r="H66" s="5"/>
      <c r="P66" t="str">
        <f>VLOOKUP(A66,snomed2,2,FALSE)</f>
        <v>kalenderår</v>
      </c>
      <c r="Q66" t="str">
        <f>VLOOKUP(A66,snomed2,3,FALSE)</f>
        <v>277267003</v>
      </c>
      <c r="R66" s="2"/>
      <c r="X66" s="118" t="str">
        <f>IF(R66="","",VLOOKUP(R66,snomed,3,FALSE))</f>
        <v/>
      </c>
    </row>
    <row r="67" spans="1:29">
      <c r="A67" s="23" t="s">
        <v>112</v>
      </c>
      <c r="B67" t="s">
        <v>43</v>
      </c>
      <c r="D67" s="5"/>
      <c r="E67" s="5"/>
      <c r="F67" s="5"/>
      <c r="G67" s="5"/>
      <c r="H67" s="5"/>
      <c r="P67" t="str">
        <f>VLOOKUP(A67,snomed2,2,FALSE)</f>
        <v>graviditetsuge</v>
      </c>
      <c r="Q67" t="str">
        <f>VLOOKUP(A67,snomed2,3,FALSE)</f>
        <v>598141000005108</v>
      </c>
      <c r="R67" s="2"/>
      <c r="X67" s="118" t="str">
        <f>IF(R67="","",VLOOKUP(R67,snomed,3,FALSE))</f>
        <v/>
      </c>
    </row>
    <row r="68" spans="1:29">
      <c r="A68" s="22" t="s">
        <v>113</v>
      </c>
      <c r="P68" t="str">
        <f>VLOOKUP(A68,snomed2,2,FALSE)</f>
        <v>fertilisering</v>
      </c>
      <c r="Q68" t="str">
        <f>VLOOKUP(A68,snomed2,3,FALSE)</f>
        <v>55767001</v>
      </c>
      <c r="R68" s="2"/>
      <c r="X68" s="118" t="str">
        <f>IF(R68="","",VLOOKUP(R68,snomed,3,FALSE))</f>
        <v/>
      </c>
    </row>
    <row r="69" spans="1:29">
      <c r="A69" s="23" t="s">
        <v>113</v>
      </c>
      <c r="B69" s="64" t="s">
        <v>34</v>
      </c>
      <c r="P69" t="str">
        <f>VLOOKUP(A69,snomed2,2,FALSE)</f>
        <v>fertilisering</v>
      </c>
      <c r="Q69" t="str">
        <f>VLOOKUP(A69,snomed2,3,FALSE)</f>
        <v>55767001</v>
      </c>
      <c r="R69" s="27" t="str">
        <f>IF(C69="","",VLOOKUP(C69,svang_snom,3,FALSE))</f>
        <v/>
      </c>
      <c r="X69" s="118" t="str">
        <f>IF(R69="","",VLOOKUP(R69,snomed,3,FALSE))</f>
        <v/>
      </c>
    </row>
    <row r="70" spans="1:29">
      <c r="A70" s="23" t="s">
        <v>114</v>
      </c>
      <c r="B70" t="s">
        <v>49</v>
      </c>
      <c r="P70" t="str">
        <f>VLOOKUP(A70,snomed2,2,FALSE)</f>
        <v>assisteret fertilisering</v>
      </c>
      <c r="Q70" t="str">
        <f>VLOOKUP(A70,snomed2,3,FALSE)</f>
        <v>63487001</v>
      </c>
      <c r="R70" s="27" t="str">
        <f>IF(C70="","",VLOOKUP(C70,svang_snom,3,FALSE))</f>
        <v/>
      </c>
      <c r="X70" s="118" t="str">
        <f>IF(R70="","",VLOOKUP(R70,snomed,3,FALSE))</f>
        <v/>
      </c>
    </row>
    <row r="71" spans="1:29">
      <c r="A71" s="23" t="s">
        <v>115</v>
      </c>
      <c r="B71" t="s">
        <v>40</v>
      </c>
      <c r="P71" t="str">
        <f>VLOOKUP(A71,snomed2,2,FALSE)</f>
        <v>relevant information</v>
      </c>
      <c r="Q71" t="str">
        <f>VLOOKUP(A71,snomed2,3,FALSE)</f>
        <v>398005008</v>
      </c>
      <c r="R71" s="2"/>
      <c r="X71" s="118" t="str">
        <f>IF(R71="","",VLOOKUP(R71,snomed,3,FALSE))</f>
        <v/>
      </c>
    </row>
    <row r="72" spans="1:29">
      <c r="A72" s="23" t="s">
        <v>116</v>
      </c>
      <c r="B72" t="s">
        <v>34</v>
      </c>
      <c r="P72" t="str">
        <f>VLOOKUP(A72,snomed2,2,FALSE)</f>
        <v>svangreomsorg: sygehistorie med infertilitet</v>
      </c>
      <c r="Q72" t="str">
        <f>VLOOKUP(A72,snomed2,3,FALSE)</f>
        <v>169589005</v>
      </c>
      <c r="R72" s="27" t="str">
        <f>IF(C72="","",VLOOKUP(C72,svang_snom,3,FALSE))</f>
        <v/>
      </c>
      <c r="X72" s="118" t="str">
        <f>IF(R72="","",VLOOKUP(R72,snomed,3,FALSE))</f>
        <v/>
      </c>
    </row>
    <row r="73" spans="1:29">
      <c r="A73" s="22" t="s">
        <v>117</v>
      </c>
      <c r="P73" t="str">
        <f>VLOOKUP(A73,snomed2,2,FALSE)</f>
        <v>familieanamnese: klinisk fund</v>
      </c>
      <c r="Q73" t="str">
        <f>VLOOKUP(A73,snomed2,3,FALSE)</f>
        <v>416471007</v>
      </c>
      <c r="R73" s="2"/>
      <c r="X73" s="118" t="str">
        <f>IF(R73="","",VLOOKUP(R73,snomed,3,FALSE))</f>
        <v/>
      </c>
    </row>
    <row r="74" spans="1:29">
      <c r="A74" s="23" t="s">
        <v>118</v>
      </c>
      <c r="B74" s="64" t="s">
        <v>49</v>
      </c>
      <c r="P74" t="str">
        <f>VLOOKUP(A74,snomed2,2,FALSE)</f>
        <v>familieanamnese: medfødt misdannelse</v>
      </c>
      <c r="Q74" t="str">
        <f>VLOOKUP(A74,snomed2,3,FALSE)</f>
        <v>597941000005106</v>
      </c>
      <c r="R74" s="27" t="str">
        <f>IF(C74="","",VLOOKUP(C74,m_genetik,3,FALSE))</f>
        <v/>
      </c>
      <c r="X74" s="118" t="str">
        <f>IF(R74="","",VLOOKUP(R74,snomed,3,FALSE))</f>
        <v/>
      </c>
    </row>
    <row r="75" spans="1:29">
      <c r="A75" s="23" t="s">
        <v>119</v>
      </c>
      <c r="B75" t="s">
        <v>40</v>
      </c>
      <c r="P75" t="str">
        <f>VLOOKUP(A75,snomed2,2,FALSE)</f>
        <v>medfødt misdannelse hos familiemedlem</v>
      </c>
      <c r="Q75" t="str">
        <f>VLOOKUP(A75,snomed2,3,FALSE)</f>
        <v>617971000005107</v>
      </c>
      <c r="X75" s="118" t="str">
        <f>IF(R75="","",VLOOKUP(R75,snomed,3,FALSE))</f>
        <v/>
      </c>
    </row>
    <row r="76" spans="1:29">
      <c r="A76" s="23" t="s">
        <v>120</v>
      </c>
      <c r="B76" s="64" t="s">
        <v>49</v>
      </c>
      <c r="P76" t="str">
        <f>VLOOKUP(A76,snomed2,2,FALSE)</f>
        <v>familieanamnese med arvelig sygdom</v>
      </c>
      <c r="Q76" t="str">
        <f>VLOOKUP(A76,snomed2,3,FALSE)</f>
        <v>429962007</v>
      </c>
      <c r="R76" s="27" t="str">
        <f>IF(C76="","",VLOOKUP(C76,m_genetik,3,FALSE))</f>
        <v/>
      </c>
      <c r="X76" s="118" t="str">
        <f>IF(R76="","",VLOOKUP(R76,snomed,3,FALSE))</f>
        <v/>
      </c>
    </row>
    <row r="77" spans="1:29">
      <c r="A77" s="23" t="s">
        <v>121</v>
      </c>
      <c r="B77" t="s">
        <v>40</v>
      </c>
      <c r="P77" t="str">
        <f>VLOOKUP(A77,snomed2,2,FALSE)</f>
        <v>arvelig sygdom hos familiemedlem</v>
      </c>
      <c r="Q77" t="str">
        <f>VLOOKUP(A77,snomed2,3,FALSE)</f>
        <v>648001000005109</v>
      </c>
      <c r="X77" s="118" t="str">
        <f>IF(R77="","",VLOOKUP(R77,snomed,3,FALSE))</f>
        <v/>
      </c>
    </row>
    <row r="78" spans="1:29">
      <c r="A78" s="23" t="s">
        <v>122</v>
      </c>
      <c r="B78" t="s">
        <v>49</v>
      </c>
      <c r="P78" t="str">
        <f>VLOOKUP(A78,snomed2,2,FALSE)</f>
        <v>træk vedr. tidsforhold</v>
      </c>
      <c r="Q78" t="str">
        <f>VLOOKUP(A78,snomed2,3,FALSE)</f>
        <v>364713004</v>
      </c>
      <c r="R78" s="27" t="str">
        <f>IF(C78="","",VLOOKUP(C78,svang_snom,3,FALSE))</f>
        <v/>
      </c>
      <c r="X78" s="118" t="str">
        <f>IF(R78="","",VLOOKUP(R78,snomed,3,FALSE))</f>
        <v/>
      </c>
    </row>
    <row r="79" spans="1:29">
      <c r="A79" s="23" t="s">
        <v>123</v>
      </c>
      <c r="B79" t="s">
        <v>49</v>
      </c>
      <c r="P79" t="str">
        <f>VLOOKUP(A79,snomed2,2,FALSE)</f>
        <v>træk ved specifik test</v>
      </c>
      <c r="Q79" t="str">
        <f>VLOOKUP(A79,snomed2,3,FALSE)</f>
        <v>364711002</v>
      </c>
      <c r="R79" s="27" t="str">
        <f>IF(C79="","",VLOOKUP(C79,svang_snom,3,FALSE))</f>
        <v/>
      </c>
      <c r="X79" s="118" t="str">
        <f>IF(R79="","",VLOOKUP(R79,snomed,3,FALSE))</f>
        <v/>
      </c>
    </row>
    <row r="80" spans="1:29">
      <c r="A80" s="23" t="s">
        <v>124</v>
      </c>
      <c r="B80" t="s">
        <v>125</v>
      </c>
      <c r="P80" t="str">
        <f>VLOOKUP(A80,snomed2,2,FALSE)</f>
        <v>bærer af arveanlæg</v>
      </c>
      <c r="Q80" t="str">
        <f>VLOOKUP(A80,snomed2,3,FALSE)</f>
        <v>647991000005101</v>
      </c>
      <c r="R80" s="27" t="str">
        <f>IF(C80="","",VLOOKUP(C80,svang_snom,3,FALSE))</f>
        <v/>
      </c>
      <c r="X80" s="118" t="str">
        <f>IF(R80="","",VLOOKUP(R80,snomed,3,FALSE))</f>
        <v/>
      </c>
    </row>
    <row r="81" spans="1:24">
      <c r="A81" s="23" t="s">
        <v>124</v>
      </c>
      <c r="P81" t="str">
        <f>VLOOKUP(A81,snomed2,2,FALSE)</f>
        <v>bærer af arveanlæg</v>
      </c>
      <c r="Q81" t="str">
        <f>VLOOKUP(A81,snomed2,3,FALSE)</f>
        <v>647991000005101</v>
      </c>
      <c r="R81" s="27" t="str">
        <f>IF(C81="","",VLOOKUP(C81,svang_snom,3,FALSE))</f>
        <v/>
      </c>
      <c r="X81" s="118" t="str">
        <f>IF(R81="","",VLOOKUP(R81,snomed,3,FALSE))</f>
        <v/>
      </c>
    </row>
    <row r="82" spans="1:24">
      <c r="A82" s="23" t="s">
        <v>126</v>
      </c>
      <c r="B82" t="s">
        <v>34</v>
      </c>
      <c r="P82" t="str">
        <f>VLOOKUP(A82,snomed2,2,FALSE)</f>
        <v>udredningsundersøgelse indiceret</v>
      </c>
      <c r="Q82" t="str">
        <f>VLOOKUP(A82,snomed2,3,FALSE)</f>
        <v>617991000005108</v>
      </c>
      <c r="R82" s="27" t="str">
        <f>IF(C82="","",VLOOKUP(C82,svang_snom,3,FALSE))</f>
        <v/>
      </c>
      <c r="X82" s="118" t="str">
        <f>IF(R82="","",VLOOKUP(R82,snomed,3,FALSE))</f>
        <v/>
      </c>
    </row>
    <row r="83" spans="1:24">
      <c r="A83" s="22" t="s">
        <v>127</v>
      </c>
      <c r="X83" s="118" t="str">
        <f>IF(R83="","",VLOOKUP(R83,snomed,3,FALSE))</f>
        <v/>
      </c>
    </row>
    <row r="84" spans="1:24">
      <c r="A84" s="23" t="s">
        <v>128</v>
      </c>
      <c r="B84" s="64" t="s">
        <v>34</v>
      </c>
      <c r="P84" t="str">
        <f>VLOOKUP(A84,snomed2,2,FALSE)</f>
        <v>konsangvinitet</v>
      </c>
      <c r="Q84" t="str">
        <f>VLOOKUP(A84,snomed2,3,FALSE)</f>
        <v>842009</v>
      </c>
      <c r="R84" s="27" t="str">
        <f>IF(C84="","",VLOOKUP(C84,svang_snom,3,FALSE))</f>
        <v/>
      </c>
      <c r="X84" s="118" t="str">
        <f>IF(R84="","",VLOOKUP(R84,snomed,3,FALSE))</f>
        <v/>
      </c>
    </row>
    <row r="85" spans="1:24">
      <c r="A85" s="23" t="s">
        <v>129</v>
      </c>
      <c r="B85" s="64" t="s">
        <v>34</v>
      </c>
      <c r="P85" t="str">
        <f>VLOOKUP(A85,snomed2,2,FALSE)</f>
        <v>prænatal ultralydsundersøgelse i 1. trimester ønskes</v>
      </c>
      <c r="Q85" t="str">
        <f>VLOOKUP(A85,snomed2,3,FALSE)</f>
        <v>567961000005108</v>
      </c>
      <c r="R85" s="27" t="str">
        <f>IF(C85="","",VLOOKUP(C85,svang_snom,3,FALSE))</f>
        <v/>
      </c>
      <c r="X85" s="118" t="str">
        <f>IF(R85="","",VLOOKUP(R85,snomed,3,FALSE))</f>
        <v/>
      </c>
    </row>
    <row r="86" spans="1:24">
      <c r="A86" s="23" t="s">
        <v>130</v>
      </c>
      <c r="B86" s="64" t="s">
        <v>34</v>
      </c>
      <c r="P86" t="str">
        <f>VLOOKUP(A86,snomed2,2,FALSE)</f>
        <v>prænatal ultralydsundersøgelse i 2. trimester ønskes</v>
      </c>
      <c r="Q86" t="str">
        <f>VLOOKUP(A86,snomed2,3,FALSE)</f>
        <v>567981000005100</v>
      </c>
      <c r="R86" s="27" t="str">
        <f>IF(C86="","",VLOOKUP(C86,svang_snom,3,FALSE))</f>
        <v/>
      </c>
      <c r="X86" s="118" t="str">
        <f>IF(R86="","",VLOOKUP(R86,snomed,3,FALSE))</f>
        <v/>
      </c>
    </row>
    <row r="87" spans="1:24">
      <c r="A87" s="23" t="s">
        <v>131</v>
      </c>
      <c r="B87" s="64" t="s">
        <v>34</v>
      </c>
      <c r="P87" t="str">
        <f>VLOOKUP(A87,snomed2,2,FALSE)</f>
        <v>prænatal risikovurdering ønskes</v>
      </c>
      <c r="Q87" t="str">
        <f>VLOOKUP(A87,snomed2,3,FALSE)</f>
        <v>568011000005108</v>
      </c>
      <c r="R87" s="27" t="str">
        <f>IF(C87="","",VLOOKUP(C87,svang_snom,3,FALSE))</f>
        <v/>
      </c>
      <c r="X87" s="118" t="str">
        <f>IF(R87="","",VLOOKUP(R87,snomed,3,FALSE))</f>
        <v/>
      </c>
    </row>
    <row r="88" spans="1:24">
      <c r="A88" s="22" t="s">
        <v>132</v>
      </c>
      <c r="P88" t="str">
        <f>VLOOKUP(A88,snomed2,2,FALSE)</f>
        <v>risikofaktor i arbejdsmiljø</v>
      </c>
      <c r="Q88" t="str">
        <f>VLOOKUP(A88,snomed2,3,FALSE)</f>
        <v>598021000005104</v>
      </c>
      <c r="X88" s="118" t="str">
        <f>IF(R88="","",VLOOKUP(R88,snomed,3,FALSE))</f>
        <v/>
      </c>
    </row>
    <row r="89" spans="1:24">
      <c r="A89" s="23" t="s">
        <v>133</v>
      </c>
      <c r="B89" t="s">
        <v>76</v>
      </c>
      <c r="P89" t="str">
        <f>VLOOKUP(A89,snomed2,2,FALSE)</f>
        <v>patientens beskæftigelse</v>
      </c>
      <c r="Q89" t="str">
        <f>VLOOKUP(A89,snomed2,3,FALSE)</f>
        <v>184104002</v>
      </c>
      <c r="X89" s="118" t="str">
        <f>IF(R89="","",VLOOKUP(R89,snomed,3,FALSE))</f>
        <v/>
      </c>
    </row>
    <row r="90" spans="1:24">
      <c r="A90" s="23" t="s">
        <v>134</v>
      </c>
      <c r="B90" t="s">
        <v>43</v>
      </c>
      <c r="P90" t="str">
        <f>VLOOKUP(A90,snomed2,2,FALSE)</f>
        <v>timer/uge</v>
      </c>
      <c r="Q90" t="str">
        <f>VLOOKUP(A90,snomed2,3,FALSE)</f>
        <v>229791003</v>
      </c>
      <c r="X90" s="118" t="str">
        <f>IF(R90="","",VLOOKUP(R90,snomed,3,FALSE))</f>
        <v/>
      </c>
    </row>
    <row r="91" spans="1:24">
      <c r="A91" s="23" t="s">
        <v>135</v>
      </c>
      <c r="B91" t="s">
        <v>49</v>
      </c>
      <c r="P91" t="str">
        <f>VLOOKUP(A91,snomed2,2,FALSE)</f>
        <v>arbejdstidsplan</v>
      </c>
      <c r="Q91" t="str">
        <f>VLOOKUP(A91,snomed2,3,FALSE)</f>
        <v>648031000005103</v>
      </c>
      <c r="R91" s="27" t="str">
        <f>IF(C91="","",VLOOKUP(C91,svang_snom,3,FALSE))</f>
        <v/>
      </c>
      <c r="X91" s="118" t="str">
        <f>IF(R91="","",VLOOKUP(R91,snomed,3,FALSE))</f>
        <v/>
      </c>
    </row>
    <row r="92" spans="1:24">
      <c r="A92" s="23" t="s">
        <v>136</v>
      </c>
      <c r="B92" t="s">
        <v>40</v>
      </c>
      <c r="P92" t="str">
        <f>VLOOKUP(A92,snomed2,2,FALSE)</f>
        <v>partners beskæftigelse</v>
      </c>
      <c r="Q92" t="str">
        <f>VLOOKUP(A92,snomed2,3,FALSE)</f>
        <v>1252646008</v>
      </c>
      <c r="X92" s="118" t="str">
        <f>IF(R92="","",VLOOKUP(R92,snomed,3,FALSE))</f>
        <v/>
      </c>
    </row>
    <row r="93" spans="1:24">
      <c r="A93" s="23" t="s">
        <v>137</v>
      </c>
      <c r="B93" t="s">
        <v>74</v>
      </c>
      <c r="P93" t="str">
        <f>VLOOKUP(A93,snomed2,2,FALSE)</f>
        <v>risikofaktor i arbejdsmiljø</v>
      </c>
      <c r="Q93" t="str">
        <f>VLOOKUP(A93,snomed2,3,FALSE)</f>
        <v>598021000005104</v>
      </c>
      <c r="R93" s="27" t="str">
        <f>IF(C93="","",VLOOKUP(C93,svang_snom,3,FALSE))</f>
        <v/>
      </c>
      <c r="X93" s="118" t="str">
        <f>IF(R93="","",VLOOKUP(R93,snomed,3,FALSE))</f>
        <v/>
      </c>
    </row>
    <row r="94" spans="1:24">
      <c r="A94" s="23" t="s">
        <v>137</v>
      </c>
      <c r="P94" t="str">
        <f>VLOOKUP(A94,snomed2,2,FALSE)</f>
        <v>risikofaktor i arbejdsmiljø</v>
      </c>
      <c r="Q94" t="str">
        <f>VLOOKUP(A94,snomed2,3,FALSE)</f>
        <v>598021000005104</v>
      </c>
      <c r="R94" s="27" t="str">
        <f>IF(C94="","",VLOOKUP(C94,svang_snom,3,FALSE))</f>
        <v/>
      </c>
      <c r="X94" s="118" t="str">
        <f>IF(R94="","",VLOOKUP(R94,snomed,3,FALSE))</f>
        <v/>
      </c>
    </row>
    <row r="95" spans="1:24">
      <c r="A95" s="23" t="s">
        <v>137</v>
      </c>
      <c r="P95" t="str">
        <f>VLOOKUP(A95,snomed2,2,FALSE)</f>
        <v>risikofaktor i arbejdsmiljø</v>
      </c>
      <c r="Q95" t="str">
        <f>VLOOKUP(A95,snomed2,3,FALSE)</f>
        <v>598021000005104</v>
      </c>
      <c r="R95" s="27" t="str">
        <f>IF(C95="","",VLOOKUP(C95,svang_snom,3,FALSE))</f>
        <v/>
      </c>
      <c r="X95" s="118" t="str">
        <f>IF(R95="","",VLOOKUP(R95,snomed,3,FALSE))</f>
        <v/>
      </c>
    </row>
    <row r="96" spans="1:24">
      <c r="A96" s="23" t="s">
        <v>137</v>
      </c>
      <c r="P96" t="str">
        <f>VLOOKUP(A96,snomed2,2,FALSE)</f>
        <v>risikofaktor i arbejdsmiljø</v>
      </c>
      <c r="Q96" t="str">
        <f>VLOOKUP(A96,snomed2,3,FALSE)</f>
        <v>598021000005104</v>
      </c>
      <c r="R96" s="27" t="str">
        <f>IF(C96="","",VLOOKUP(C96,svang_snom,3,FALSE))</f>
        <v/>
      </c>
      <c r="X96" s="118" t="str">
        <f>IF(R96="","",VLOOKUP(R96,snomed,3,FALSE))</f>
        <v/>
      </c>
    </row>
    <row r="97" spans="1:24">
      <c r="A97" s="23" t="s">
        <v>138</v>
      </c>
      <c r="B97" t="s">
        <v>40</v>
      </c>
      <c r="P97" t="str">
        <f>VLOOKUP(A97,snomed2,2,FALSE)</f>
        <v>relevant information</v>
      </c>
      <c r="Q97" t="str">
        <f>VLOOKUP(A97,snomed2,3,FALSE)</f>
        <v>398005008</v>
      </c>
      <c r="R97" s="2"/>
      <c r="X97" s="118" t="str">
        <f>IF(R97="","",VLOOKUP(R97,snomed,3,FALSE))</f>
        <v/>
      </c>
    </row>
    <row r="98" spans="1:24">
      <c r="A98" s="23" t="s">
        <v>139</v>
      </c>
      <c r="B98" t="s">
        <v>28</v>
      </c>
      <c r="P98" t="str">
        <f>VLOOKUP(A98,snomed2,2,FALSE)</f>
        <v>starttidspunkt</v>
      </c>
      <c r="Q98" t="str">
        <f>VLOOKUP(A98,snomed2,3,FALSE)</f>
        <v>398201009</v>
      </c>
      <c r="R98" s="2"/>
      <c r="X98" s="118" t="str">
        <f>IF(R98="","",VLOOKUP(R98,snomed,3,FALSE))</f>
        <v/>
      </c>
    </row>
    <row r="99" spans="1:24">
      <c r="A99" s="23" t="s">
        <v>140</v>
      </c>
      <c r="B99" t="s">
        <v>28</v>
      </c>
      <c r="P99" t="str">
        <f>VLOOKUP(A99,snomed2,2,FALSE)</f>
        <v>sluttidspunkt</v>
      </c>
      <c r="Q99" t="str">
        <f>VLOOKUP(A99,snomed2,3,FALSE)</f>
        <v>397898000</v>
      </c>
      <c r="R99" s="2"/>
      <c r="X99" s="118" t="str">
        <f>IF(R99="","",VLOOKUP(R99,snomed,3,FALSE))</f>
        <v/>
      </c>
    </row>
    <row r="100" spans="1:24">
      <c r="A100" s="23" t="s">
        <v>141</v>
      </c>
      <c r="B100" t="s">
        <v>142</v>
      </c>
      <c r="P100" t="str">
        <f>VLOOKUP(A100,snomed2,2,FALSE)</f>
        <v>henvisning til arbejdsmedicinsk behandling</v>
      </c>
      <c r="Q100" t="str">
        <f>VLOOKUP(A100,snomed2,3,FALSE)</f>
        <v>306152009</v>
      </c>
      <c r="R100" s="27" t="str">
        <f>IF(C100="","",VLOOKUP(C100,svang_snom,3,FALSE))</f>
        <v/>
      </c>
      <c r="X100" s="118" t="str">
        <f>IF(R100="","",VLOOKUP(R100,snomed,3,FALSE))</f>
        <v/>
      </c>
    </row>
    <row r="101" spans="1:24">
      <c r="A101" s="22" t="s">
        <v>143</v>
      </c>
      <c r="P101" t="str">
        <f>VLOOKUP(A101,snomed2,2,FALSE)</f>
        <v>beskæftigelsesstatus</v>
      </c>
      <c r="Q101" t="str">
        <f>VLOOKUP(A101,snomed2,3,FALSE)</f>
        <v>224362002</v>
      </c>
      <c r="R101" s="2"/>
      <c r="X101" s="118" t="str">
        <f>IF(R101="","",VLOOKUP(R101,snomed,3,FALSE))</f>
        <v/>
      </c>
    </row>
    <row r="102" spans="1:24">
      <c r="A102" s="23" t="s">
        <v>144</v>
      </c>
      <c r="B102" t="s">
        <v>49</v>
      </c>
      <c r="P102" t="str">
        <f>VLOOKUP(A102,snomed2,2,FALSE)</f>
        <v>fremmøde på arbejde</v>
      </c>
      <c r="Q102" t="str">
        <f>VLOOKUP(A102,snomed2,3,FALSE)</f>
        <v>224399002</v>
      </c>
      <c r="R102" s="27" t="str">
        <f>IF(C102="","",VLOOKUP(C102,m_fravær,3,FALSE))</f>
        <v/>
      </c>
      <c r="X102" s="118" t="str">
        <f>IF(R102="","",VLOOKUP(R102,snomed,3,FALSE))</f>
        <v/>
      </c>
    </row>
    <row r="103" spans="1:24">
      <c r="A103" s="23" t="s">
        <v>145</v>
      </c>
      <c r="B103" t="s">
        <v>142</v>
      </c>
      <c r="P103" t="str">
        <f>VLOOKUP(A103,snomed2,2,FALSE)</f>
        <v>sygemeldt fra arbejde</v>
      </c>
      <c r="Q103" t="str">
        <f>VLOOKUP(A103,snomed2,3,FALSE)</f>
        <v>224459001</v>
      </c>
      <c r="R103" s="27" t="str">
        <f>IF(C103="","",VLOOKUP(C103,svang_snom,3,FALSE))</f>
        <v/>
      </c>
      <c r="X103" s="118" t="str">
        <f>IF(R103="","",VLOOKUP(R103,snomed,3,FALSE))</f>
        <v/>
      </c>
    </row>
    <row r="104" spans="1:24">
      <c r="A104" s="23" t="s">
        <v>146</v>
      </c>
      <c r="B104" t="s">
        <v>40</v>
      </c>
      <c r="P104" t="str">
        <f>VLOOKUP(A104,snomed2,2,FALSE)</f>
        <v>relevant information</v>
      </c>
      <c r="Q104" t="str">
        <f>VLOOKUP(A104,snomed2,3,FALSE)</f>
        <v>398005008</v>
      </c>
      <c r="R104" s="2"/>
      <c r="X104" s="118" t="str">
        <f>IF(R104="","",VLOOKUP(R104,snomed,3,FALSE))</f>
        <v/>
      </c>
    </row>
    <row r="105" spans="1:24">
      <c r="A105" s="22" t="s">
        <v>147</v>
      </c>
      <c r="P105" t="str">
        <f>VLOOKUP(A105,snomed2,2,FALSE)</f>
        <v>fosters allergistatus</v>
      </c>
      <c r="Q105" t="str">
        <f>VLOOKUP(A105,snomed2,3,FALSE)</f>
        <v>2903021000005100</v>
      </c>
      <c r="R105" s="2"/>
      <c r="X105" s="118" t="str">
        <f>IF(R105="","",VLOOKUP(R105,snomed,3,FALSE))</f>
        <v/>
      </c>
    </row>
    <row r="106" spans="1:24">
      <c r="A106" s="23" t="s">
        <v>148</v>
      </c>
      <c r="B106" t="s">
        <v>49</v>
      </c>
      <c r="P106" t="str">
        <f>VLOOKUP(A106,snomed2,2,FALSE)</f>
        <v>allergisk disposition</v>
      </c>
      <c r="Q106" t="str">
        <f>VLOOKUP(A106,snomed2,3,FALSE)</f>
        <v>609328004</v>
      </c>
      <c r="R106" s="27" t="str">
        <f>IF(C106="","",VLOOKUP(C106,svang_snom,3,FALSE))</f>
        <v/>
      </c>
      <c r="X106" s="118" t="str">
        <f>IF(R106="","",VLOOKUP(R106,snomed,3,FALSE))</f>
        <v/>
      </c>
    </row>
    <row r="107" spans="1:24">
      <c r="A107" s="22" t="s">
        <v>149</v>
      </c>
      <c r="X107" s="118" t="str">
        <f>IF(R107="","",VLOOKUP(R107,snomed,3,FALSE))</f>
        <v/>
      </c>
    </row>
    <row r="108" spans="1:24">
      <c r="A108" s="23" t="s">
        <v>150</v>
      </c>
      <c r="B108" t="s">
        <v>142</v>
      </c>
      <c r="P108" t="str">
        <f>VLOOKUP(A108,snomed2,2,FALSE)</f>
        <v>allergistatus</v>
      </c>
      <c r="Q108" t="str">
        <f>VLOOKUP(A108,snomed2,3,FALSE)</f>
        <v>1300212001</v>
      </c>
      <c r="R108" s="27" t="str">
        <f>IF(C108="","",VLOOKUP(C108,svang_snom,3,FALSE))</f>
        <v/>
      </c>
      <c r="X108" s="118" t="str">
        <f>IF(R108="","",VLOOKUP(R108,snomed,3,FALSE))</f>
        <v/>
      </c>
    </row>
    <row r="109" spans="1:24">
      <c r="A109" s="23" t="s">
        <v>151</v>
      </c>
      <c r="B109" t="s">
        <v>76</v>
      </c>
      <c r="P109" t="str">
        <f>VLOOKUP(A109,snomed2,2,FALSE)</f>
        <v>forårsagende agens</v>
      </c>
      <c r="Q109">
        <f>VLOOKUP(A109,snomed2,3,FALSE)</f>
        <v>246075003</v>
      </c>
      <c r="R109" s="27" t="str">
        <f>IF(C109="","",VLOOKUP(C109,svang_snom,3,FALSE))</f>
        <v/>
      </c>
      <c r="X109" s="118" t="str">
        <f>IF(R109="","",VLOOKUP(R109,snomed,3,FALSE))</f>
        <v/>
      </c>
    </row>
    <row r="110" spans="1:24">
      <c r="A110" s="22" t="s">
        <v>152</v>
      </c>
      <c r="P110" t="str">
        <f>VLOOKUP(A110,snomed2,2,FALSE)</f>
        <v>fund ved prænatal screening</v>
      </c>
      <c r="Q110" t="str">
        <f>VLOOKUP(A110,snomed2,3,FALSE)</f>
        <v>313199003</v>
      </c>
      <c r="X110" s="118" t="str">
        <f>IF(R110="","",VLOOKUP(R110,snomed,3,FALSE))</f>
        <v/>
      </c>
    </row>
    <row r="111" spans="1:24">
      <c r="A111" s="23" t="s">
        <v>153</v>
      </c>
      <c r="B111" t="s">
        <v>154</v>
      </c>
      <c r="P111" t="str">
        <f>VLOOKUP(A111,snomed2,2,FALSE)</f>
        <v>humant immundefektvirus-infektion</v>
      </c>
      <c r="Q111" t="str">
        <f>VLOOKUP(A111,snomed2,3,FALSE)</f>
        <v>86406008</v>
      </c>
      <c r="R111" s="27" t="str">
        <f>IF(C111="","",VLOOKUP(C111,svang_snom,3,FALSE))</f>
        <v/>
      </c>
      <c r="X111" s="118" t="str">
        <f>IF(R111="","",VLOOKUP(R111,snomed,3,FALSE))</f>
        <v/>
      </c>
    </row>
    <row r="112" spans="1:24">
      <c r="A112" s="23" t="s">
        <v>155</v>
      </c>
      <c r="B112" t="s">
        <v>154</v>
      </c>
      <c r="P112" t="str">
        <f>VLOOKUP(A112,snomed2,2,FALSE)</f>
        <v>prænatal syfilisscreening</v>
      </c>
      <c r="Q112" t="str">
        <f>VLOOKUP(A112,snomed2,3,FALSE)</f>
        <v>169698000</v>
      </c>
      <c r="R112" s="27" t="str">
        <f>IF(C112="","",VLOOKUP(C112,svang_snom,3,FALSE))</f>
        <v/>
      </c>
      <c r="X112" s="118" t="str">
        <f>IF(R112="","",VLOOKUP(R112,snomed,3,FALSE))</f>
        <v/>
      </c>
    </row>
    <row r="113" spans="1:24">
      <c r="A113" s="23" t="s">
        <v>156</v>
      </c>
      <c r="B113" t="s">
        <v>154</v>
      </c>
      <c r="P113" t="str">
        <f>VLOOKUP(A113,snomed2,2,FALSE)</f>
        <v>prænatal blodtypescreening</v>
      </c>
      <c r="Q113" t="str">
        <f>VLOOKUP(A113,snomed2,3,FALSE)</f>
        <v>169703006</v>
      </c>
      <c r="R113" s="27" t="str">
        <f>IF(C113="","",VLOOKUP(C113,svang_snom,3,FALSE))</f>
        <v/>
      </c>
      <c r="X113" s="118" t="str">
        <f>IF(R113="","",VLOOKUP(R113,snomed,3,FALSE))</f>
        <v/>
      </c>
    </row>
    <row r="114" spans="1:24">
      <c r="A114" s="23" t="s">
        <v>157</v>
      </c>
      <c r="B114" t="s">
        <v>154</v>
      </c>
      <c r="P114" t="str">
        <f>VLOOKUP(A114,snomed2,2,FALSE)</f>
        <v>prænatal screening for hepatitis B-virus</v>
      </c>
      <c r="Q114" t="str">
        <f>VLOOKUP(A114,snomed2,3,FALSE)</f>
        <v>712853001</v>
      </c>
      <c r="R114" s="27" t="str">
        <f>IF(C114="","",VLOOKUP(C114,svang_snom,3,FALSE))</f>
        <v/>
      </c>
      <c r="X114" s="118" t="str">
        <f>IF(R114="","",VLOOKUP(R114,snomed,3,FALSE))</f>
        <v/>
      </c>
    </row>
    <row r="115" spans="1:24">
      <c r="A115" s="22" t="s">
        <v>158</v>
      </c>
      <c r="X115" s="118" t="str">
        <f>IF(R115="","",VLOOKUP(R115,snomed,3,FALSE))</f>
        <v/>
      </c>
    </row>
    <row r="116" spans="1:24">
      <c r="A116" s="23" t="s">
        <v>159</v>
      </c>
      <c r="B116" t="s">
        <v>40</v>
      </c>
      <c r="P116" t="str">
        <f>VLOOKUP(A116,snomed2,2,FALSE)</f>
        <v>medicintagning</v>
      </c>
      <c r="Q116" t="str">
        <f>VLOOKUP(A116,snomed2,3,FALSE)</f>
        <v>129019007</v>
      </c>
      <c r="X116" s="118" t="str">
        <f>IF(R116="","",VLOOKUP(R116,snomed,3,FALSE))</f>
        <v/>
      </c>
    </row>
    <row r="117" spans="1:24">
      <c r="A117" s="23" t="s">
        <v>160</v>
      </c>
      <c r="B117" t="s">
        <v>40</v>
      </c>
      <c r="P117" t="str">
        <f>VLOOKUP(A117,snomed2,2,FALSE)</f>
        <v>årsag til manglende vaccination</v>
      </c>
      <c r="Q117" t="str">
        <f>VLOOKUP(A117,snomed2,3,FALSE)</f>
        <v>129019007</v>
      </c>
      <c r="X117" s="118" t="str">
        <f>IF(R117="","",VLOOKUP(R117,snomed,3,FALSE))</f>
        <v/>
      </c>
    </row>
    <row r="118" spans="1:24">
      <c r="A118" s="22" t="s">
        <v>161</v>
      </c>
      <c r="P118" t="str">
        <f>VLOOKUP(A118,snomed2,2,FALSE)</f>
        <v>sygehistorie: operation</v>
      </c>
      <c r="Q118" t="str">
        <f>VLOOKUP(A118,snomed2,3,FALSE)</f>
        <v>161615003</v>
      </c>
      <c r="X118" s="118" t="str">
        <f>IF(R118="","",VLOOKUP(R118,snomed,3,FALSE))</f>
        <v/>
      </c>
    </row>
    <row r="119" spans="1:24">
      <c r="A119" s="23" t="s">
        <v>161</v>
      </c>
      <c r="B119" s="64" t="s">
        <v>142</v>
      </c>
      <c r="P119" t="str">
        <f>VLOOKUP(A119,snomed2,2,FALSE)</f>
        <v>sygehistorie: operation</v>
      </c>
      <c r="Q119" t="str">
        <f>VLOOKUP(A119,snomed2,3,FALSE)</f>
        <v>161615003</v>
      </c>
      <c r="R119" s="27" t="str">
        <f>IF(C119="","",VLOOKUP(C119,svang_snom,3,FALSE))</f>
        <v/>
      </c>
      <c r="X119" s="118" t="str">
        <f>IF(R119="","",VLOOKUP(R119,snomed,3,FALSE))</f>
        <v/>
      </c>
    </row>
    <row r="120" spans="1:24">
      <c r="A120" s="23"/>
      <c r="C120" s="1" t="s">
        <v>162</v>
      </c>
      <c r="D120" s="1" t="s">
        <v>163</v>
      </c>
      <c r="E120" s="1" t="s">
        <v>164</v>
      </c>
      <c r="X120" s="118" t="str">
        <f>IF(R120="","",VLOOKUP(R120,snomed,3,FALSE))</f>
        <v/>
      </c>
    </row>
    <row r="121" spans="1:24">
      <c r="A121" s="23" t="s">
        <v>165</v>
      </c>
      <c r="B121" t="s">
        <v>74</v>
      </c>
      <c r="D121" t="str">
        <f t="shared" ref="D121:D135" si="0">IF(C121="","",VLOOKUP(C121,TO_kat,2,FALSE))</f>
        <v/>
      </c>
      <c r="R121" s="27" t="str">
        <f>IF(C121="","",VLOOKUP(C121,svang_snom,3,FALSE))</f>
        <v/>
      </c>
      <c r="S121" s="27" t="str">
        <f>IF(D121="","",VLOOKUP(D121,snomed2,3,FALSE))</f>
        <v/>
      </c>
      <c r="X121" s="118" t="str">
        <f>IF(R121="","",VLOOKUP(R121,snomed,3,FALSE))</f>
        <v/>
      </c>
    </row>
    <row r="122" spans="1:24">
      <c r="A122" s="23" t="s">
        <v>165</v>
      </c>
      <c r="D122" t="str">
        <f t="shared" si="0"/>
        <v/>
      </c>
      <c r="R122" s="27" t="str">
        <f>IF(C122="","",VLOOKUP(C122,svang_snom,3,FALSE))</f>
        <v/>
      </c>
      <c r="S122" s="27" t="str">
        <f>IF(D122="","",VLOOKUP(D122,snomed2,3,FALSE))</f>
        <v/>
      </c>
      <c r="X122" s="118" t="str">
        <f>IF(R122="","",VLOOKUP(R122,snomed,3,FALSE))</f>
        <v/>
      </c>
    </row>
    <row r="123" spans="1:24">
      <c r="A123" s="23" t="s">
        <v>165</v>
      </c>
      <c r="D123" t="str">
        <f t="shared" si="0"/>
        <v/>
      </c>
      <c r="R123" s="27" t="str">
        <f>IF(C123="","",VLOOKUP(C123,svang_snom,3,FALSE))</f>
        <v/>
      </c>
      <c r="S123" s="27" t="str">
        <f>IF(D123="","",VLOOKUP(D123,snomed2,3,FALSE))</f>
        <v/>
      </c>
      <c r="X123" s="118" t="str">
        <f>IF(R123="","",VLOOKUP(R123,snomed,3,FALSE))</f>
        <v/>
      </c>
    </row>
    <row r="124" spans="1:24">
      <c r="A124" s="23" t="s">
        <v>165</v>
      </c>
      <c r="D124" t="str">
        <f t="shared" si="0"/>
        <v/>
      </c>
      <c r="R124" s="27" t="str">
        <f>IF(C124="","",VLOOKUP(C124,svang_snom,3,FALSE))</f>
        <v/>
      </c>
      <c r="S124" s="27" t="str">
        <f>IF(D124="","",VLOOKUP(D124,snomed2,3,FALSE))</f>
        <v/>
      </c>
      <c r="X124" s="118" t="str">
        <f>IF(R124="","",VLOOKUP(R124,snomed,3,FALSE))</f>
        <v/>
      </c>
    </row>
    <row r="125" spans="1:24">
      <c r="A125" s="23" t="s">
        <v>165</v>
      </c>
      <c r="D125" t="str">
        <f t="shared" si="0"/>
        <v/>
      </c>
      <c r="R125" s="27" t="str">
        <f>IF(C125="","",VLOOKUP(C125,svang_snom,3,FALSE))</f>
        <v/>
      </c>
      <c r="S125" s="27" t="str">
        <f>IF(D125="","",VLOOKUP(D125,snomed2,3,FALSE))</f>
        <v/>
      </c>
      <c r="X125" s="118" t="str">
        <f>IF(R125="","",VLOOKUP(R125,snomed,3,FALSE))</f>
        <v/>
      </c>
    </row>
    <row r="126" spans="1:24">
      <c r="A126" s="23" t="s">
        <v>165</v>
      </c>
      <c r="D126" t="str">
        <f t="shared" si="0"/>
        <v/>
      </c>
      <c r="R126" s="27" t="str">
        <f>IF(C126="","",VLOOKUP(C126,svang_snom,3,FALSE))</f>
        <v/>
      </c>
      <c r="S126" s="27" t="str">
        <f>IF(D126="","",VLOOKUP(D126,snomed2,3,FALSE))</f>
        <v/>
      </c>
      <c r="X126" s="118" t="str">
        <f>IF(R126="","",VLOOKUP(R126,snomed,3,FALSE))</f>
        <v/>
      </c>
    </row>
    <row r="127" spans="1:24">
      <c r="A127" s="23" t="s">
        <v>165</v>
      </c>
      <c r="D127" t="str">
        <f t="shared" si="0"/>
        <v/>
      </c>
      <c r="R127" s="27" t="str">
        <f>IF(C127="","",VLOOKUP(C127,svang_snom,3,FALSE))</f>
        <v/>
      </c>
      <c r="S127" s="27" t="str">
        <f>IF(D127="","",VLOOKUP(D127,snomed2,3,FALSE))</f>
        <v/>
      </c>
      <c r="X127" s="118" t="str">
        <f>IF(R127="","",VLOOKUP(R127,snomed,3,FALSE))</f>
        <v/>
      </c>
    </row>
    <row r="128" spans="1:24">
      <c r="A128" s="23" t="s">
        <v>165</v>
      </c>
      <c r="D128" t="str">
        <f t="shared" si="0"/>
        <v/>
      </c>
      <c r="R128" s="27" t="str">
        <f>IF(C128="","",VLOOKUP(C128,svang_snom,3,FALSE))</f>
        <v/>
      </c>
      <c r="S128" s="27" t="str">
        <f>IF(D128="","",VLOOKUP(D128,snomed2,3,FALSE))</f>
        <v/>
      </c>
      <c r="X128" s="118" t="str">
        <f>IF(R128="","",VLOOKUP(R128,snomed,3,FALSE))</f>
        <v/>
      </c>
    </row>
    <row r="129" spans="1:24">
      <c r="A129" s="23" t="s">
        <v>165</v>
      </c>
      <c r="D129" t="str">
        <f t="shared" si="0"/>
        <v/>
      </c>
      <c r="R129" s="27" t="str">
        <f>IF(C129="","",VLOOKUP(C129,svang_snom,3,FALSE))</f>
        <v/>
      </c>
      <c r="S129" s="27" t="str">
        <f>IF(D129="","",VLOOKUP(D129,snomed2,3,FALSE))</f>
        <v/>
      </c>
      <c r="X129" s="118" t="str">
        <f>IF(R129="","",VLOOKUP(R129,snomed,3,FALSE))</f>
        <v/>
      </c>
    </row>
    <row r="130" spans="1:24">
      <c r="A130" s="23" t="s">
        <v>165</v>
      </c>
      <c r="D130" t="str">
        <f t="shared" si="0"/>
        <v/>
      </c>
      <c r="R130" s="27" t="str">
        <f>IF(C130="","",VLOOKUP(C130,svang_snom,3,FALSE))</f>
        <v/>
      </c>
      <c r="S130" s="27" t="str">
        <f>IF(D130="","",VLOOKUP(D130,snomed2,3,FALSE))</f>
        <v/>
      </c>
      <c r="X130" s="118" t="str">
        <f>IF(R130="","",VLOOKUP(R130,snomed,3,FALSE))</f>
        <v/>
      </c>
    </row>
    <row r="131" spans="1:24">
      <c r="A131" s="23" t="s">
        <v>165</v>
      </c>
      <c r="D131" t="str">
        <f t="shared" si="0"/>
        <v/>
      </c>
      <c r="R131" s="27" t="str">
        <f>IF(C131="","",VLOOKUP(C131,svang_snom,3,FALSE))</f>
        <v/>
      </c>
      <c r="S131" s="27" t="str">
        <f>IF(D131="","",VLOOKUP(D131,snomed2,3,FALSE))</f>
        <v/>
      </c>
      <c r="X131" s="118" t="str">
        <f>IF(R131="","",VLOOKUP(R131,snomed,3,FALSE))</f>
        <v/>
      </c>
    </row>
    <row r="132" spans="1:24">
      <c r="A132" s="23" t="s">
        <v>165</v>
      </c>
      <c r="D132" t="str">
        <f t="shared" si="0"/>
        <v/>
      </c>
      <c r="R132" s="27" t="str">
        <f>IF(C132="","",VLOOKUP(C132,svang_snom,3,FALSE))</f>
        <v/>
      </c>
      <c r="S132" s="27" t="str">
        <f>IF(D132="","",VLOOKUP(D132,snomed2,3,FALSE))</f>
        <v/>
      </c>
      <c r="X132" s="118" t="str">
        <f>IF(R132="","",VLOOKUP(R132,snomed,3,FALSE))</f>
        <v/>
      </c>
    </row>
    <row r="133" spans="1:24">
      <c r="A133" s="23" t="s">
        <v>165</v>
      </c>
      <c r="D133" t="str">
        <f t="shared" si="0"/>
        <v/>
      </c>
      <c r="R133" s="27" t="str">
        <f>IF(C133="","",VLOOKUP(C133,svang_snom,3,FALSE))</f>
        <v/>
      </c>
      <c r="S133" s="27" t="str">
        <f>IF(D133="","",VLOOKUP(D133,snomed2,3,FALSE))</f>
        <v/>
      </c>
      <c r="X133" s="118" t="str">
        <f>IF(R133="","",VLOOKUP(R133,snomed,3,FALSE))</f>
        <v/>
      </c>
    </row>
    <row r="134" spans="1:24">
      <c r="A134" s="23" t="s">
        <v>165</v>
      </c>
      <c r="D134" t="str">
        <f t="shared" si="0"/>
        <v/>
      </c>
      <c r="R134" s="27" t="str">
        <f>IF(C134="","",VLOOKUP(C134,svang_snom,3,FALSE))</f>
        <v/>
      </c>
      <c r="S134" s="27" t="str">
        <f>IF(D134="","",VLOOKUP(D134,snomed2,3,FALSE))</f>
        <v/>
      </c>
      <c r="X134" s="118" t="str">
        <f>IF(R134="","",VLOOKUP(R134,snomed,3,FALSE))</f>
        <v/>
      </c>
    </row>
    <row r="135" spans="1:24">
      <c r="A135" s="23" t="s">
        <v>165</v>
      </c>
      <c r="D135" t="str">
        <f t="shared" si="0"/>
        <v/>
      </c>
      <c r="R135" s="27" t="str">
        <f>IF(C135="","",VLOOKUP(C135,svang_snom,3,FALSE))</f>
        <v/>
      </c>
      <c r="S135" s="27" t="str">
        <f>IF(D135="","",VLOOKUP(D135,snomed2,3,FALSE))</f>
        <v/>
      </c>
      <c r="X135" s="118" t="str">
        <f>IF(R135="","",VLOOKUP(R135,snomed,3,FALSE))</f>
        <v/>
      </c>
    </row>
    <row r="136" spans="1:24">
      <c r="A136" s="23" t="s">
        <v>39</v>
      </c>
      <c r="B136" t="s">
        <v>40</v>
      </c>
      <c r="P136" t="str">
        <f>VLOOKUP(A136,snomed2,2,FALSE)</f>
        <v>Relevant information</v>
      </c>
      <c r="Q136" t="str">
        <f>VLOOKUP(A136,snomed2,3,FALSE)</f>
        <v>398005008</v>
      </c>
      <c r="R136" s="27" t="str">
        <f>IF(C136="","",VLOOKUP(C136,svang_snom,3,FALSE))</f>
        <v/>
      </c>
      <c r="S136" s="27" t="str">
        <f>IF(D136="","",VLOOKUP(D136,snomed2,3,FALSE))</f>
        <v/>
      </c>
      <c r="X136" s="118" t="str">
        <f>IF(R136="","",VLOOKUP(R136,snomed,3,FALSE))</f>
        <v/>
      </c>
    </row>
    <row r="137" spans="1:24">
      <c r="A137" s="22" t="s">
        <v>166</v>
      </c>
      <c r="P137" t="str">
        <f>VLOOKUP(A137,snomed2,2,FALSE)</f>
        <v>sygdom</v>
      </c>
      <c r="Q137" t="str">
        <f>VLOOKUP(A137,snomed2,3,FALSE)</f>
        <v>64572001</v>
      </c>
      <c r="R137" s="2"/>
      <c r="X137" s="118" t="str">
        <f>IF(R137="","",VLOOKUP(R137,snomed,3,FALSE))</f>
        <v/>
      </c>
    </row>
    <row r="138" spans="1:24">
      <c r="A138" s="23" t="s">
        <v>166</v>
      </c>
      <c r="B138" s="64" t="s">
        <v>142</v>
      </c>
      <c r="C138" t="s">
        <v>167</v>
      </c>
      <c r="P138" t="str">
        <f>VLOOKUP(A138,snomed2,2,FALSE)</f>
        <v>sygdom</v>
      </c>
      <c r="Q138" t="str">
        <f>VLOOKUP(A138,snomed2,3,FALSE)</f>
        <v>64572001</v>
      </c>
      <c r="R138" s="27" t="str">
        <f>IF(C138="","",VLOOKUP(C138,svang_snom,3,FALSE))</f>
        <v>373066001</v>
      </c>
      <c r="X138" s="118" t="str">
        <f>IF(R138="","",VLOOKUP(R138,snomed,3,FALSE))</f>
        <v>ja</v>
      </c>
    </row>
    <row r="139" spans="1:24">
      <c r="A139" s="23"/>
      <c r="C139" s="1" t="s">
        <v>166</v>
      </c>
      <c r="D139" s="1" t="s">
        <v>163</v>
      </c>
      <c r="R139" s="2"/>
      <c r="X139" s="118" t="str">
        <f>IF(R139="","",VLOOKUP(R139,snomed,3,FALSE))</f>
        <v/>
      </c>
    </row>
    <row r="140" spans="1:24">
      <c r="A140" s="23" t="s">
        <v>168</v>
      </c>
      <c r="B140" t="s">
        <v>74</v>
      </c>
      <c r="D140" t="str">
        <f t="shared" ref="D140:D157" si="1">IF(C140="","",VLOOKUP(C140,SO_kat,2,FALSE))</f>
        <v/>
      </c>
      <c r="R140" s="27" t="str">
        <f>IF(C140="","",VLOOKUP(C140,svang_snom,3,FALSE))</f>
        <v/>
      </c>
      <c r="S140" s="27" t="str">
        <f>IF(D140="","",VLOOKUP(D140,snomed2,3,FALSE))</f>
        <v/>
      </c>
      <c r="X140" s="118" t="str">
        <f>IF(R140="","",VLOOKUP(R140,snomed,3,FALSE))</f>
        <v/>
      </c>
    </row>
    <row r="141" spans="1:24">
      <c r="A141" s="23" t="s">
        <v>168</v>
      </c>
      <c r="D141" t="str">
        <f t="shared" si="1"/>
        <v/>
      </c>
      <c r="R141" s="27" t="str">
        <f>IF(C141="","",VLOOKUP(C141,svang_snom,3,FALSE))</f>
        <v/>
      </c>
      <c r="S141" s="27" t="str">
        <f>IF(D141="","",VLOOKUP(D141,snomed2,3,FALSE))</f>
        <v/>
      </c>
      <c r="X141" s="118" t="str">
        <f>IF(R141="","",VLOOKUP(R141,snomed,3,FALSE))</f>
        <v/>
      </c>
    </row>
    <row r="142" spans="1:24">
      <c r="A142" s="23" t="s">
        <v>168</v>
      </c>
      <c r="D142" t="str">
        <f t="shared" si="1"/>
        <v/>
      </c>
      <c r="R142" s="27" t="str">
        <f>IF(C142="","",VLOOKUP(C142,svang_snom,3,FALSE))</f>
        <v/>
      </c>
      <c r="S142" s="27" t="str">
        <f>IF(D142="","",VLOOKUP(D142,snomed2,3,FALSE))</f>
        <v/>
      </c>
      <c r="X142" s="118" t="str">
        <f>IF(R142="","",VLOOKUP(R142,snomed,3,FALSE))</f>
        <v/>
      </c>
    </row>
    <row r="143" spans="1:24">
      <c r="A143" s="23" t="s">
        <v>168</v>
      </c>
      <c r="D143" t="str">
        <f t="shared" si="1"/>
        <v/>
      </c>
      <c r="R143" s="27" t="str">
        <f>IF(C143="","",VLOOKUP(C143,svang_snom,3,FALSE))</f>
        <v/>
      </c>
      <c r="S143" s="27" t="str">
        <f>IF(D143="","",VLOOKUP(D143,snomed2,3,FALSE))</f>
        <v/>
      </c>
      <c r="X143" s="118" t="str">
        <f>IF(R143="","",VLOOKUP(R143,snomed,3,FALSE))</f>
        <v/>
      </c>
    </row>
    <row r="144" spans="1:24">
      <c r="A144" s="23" t="s">
        <v>168</v>
      </c>
      <c r="D144" t="str">
        <f t="shared" si="1"/>
        <v/>
      </c>
      <c r="R144" s="27" t="str">
        <f>IF(C144="","",VLOOKUP(C144,svang_snom,3,FALSE))</f>
        <v/>
      </c>
      <c r="S144" s="27" t="str">
        <f>IF(D144="","",VLOOKUP(D144,snomed2,3,FALSE))</f>
        <v/>
      </c>
      <c r="X144" s="118" t="str">
        <f>IF(R144="","",VLOOKUP(R144,snomed,3,FALSE))</f>
        <v/>
      </c>
    </row>
    <row r="145" spans="1:24">
      <c r="A145" s="23" t="s">
        <v>168</v>
      </c>
      <c r="D145" t="str">
        <f t="shared" si="1"/>
        <v/>
      </c>
      <c r="R145" s="27" t="str">
        <f>IF(C145="","",VLOOKUP(C145,svang_snom,3,FALSE))</f>
        <v/>
      </c>
      <c r="S145" s="27" t="str">
        <f>IF(D145="","",VLOOKUP(D145,snomed2,3,FALSE))</f>
        <v/>
      </c>
      <c r="X145" s="118" t="str">
        <f>IF(R145="","",VLOOKUP(R145,snomed,3,FALSE))</f>
        <v/>
      </c>
    </row>
    <row r="146" spans="1:24">
      <c r="A146" s="23" t="s">
        <v>168</v>
      </c>
      <c r="D146" t="str">
        <f t="shared" si="1"/>
        <v/>
      </c>
      <c r="R146" s="27" t="str">
        <f>IF(C146="","",VLOOKUP(C146,svang_snom,3,FALSE))</f>
        <v/>
      </c>
      <c r="S146" s="27" t="str">
        <f>IF(D146="","",VLOOKUP(D146,snomed2,3,FALSE))</f>
        <v/>
      </c>
      <c r="X146" s="118" t="str">
        <f>IF(R146="","",VLOOKUP(R146,snomed,3,FALSE))</f>
        <v/>
      </c>
    </row>
    <row r="147" spans="1:24">
      <c r="A147" s="23" t="s">
        <v>168</v>
      </c>
      <c r="D147" t="str">
        <f t="shared" si="1"/>
        <v/>
      </c>
      <c r="R147" s="27" t="str">
        <f>IF(C147="","",VLOOKUP(C147,svang_snom,3,FALSE))</f>
        <v/>
      </c>
      <c r="S147" s="27" t="str">
        <f>IF(D147="","",VLOOKUP(D147,snomed2,3,FALSE))</f>
        <v/>
      </c>
      <c r="X147" s="118" t="str">
        <f>IF(R147="","",VLOOKUP(R147,snomed,3,FALSE))</f>
        <v/>
      </c>
    </row>
    <row r="148" spans="1:24">
      <c r="A148" s="23" t="s">
        <v>168</v>
      </c>
      <c r="D148" t="str">
        <f t="shared" si="1"/>
        <v/>
      </c>
      <c r="R148" s="27" t="str">
        <f>IF(C148="","",VLOOKUP(C148,svang_snom,3,FALSE))</f>
        <v/>
      </c>
      <c r="S148" s="27" t="str">
        <f>IF(D148="","",VLOOKUP(D148,snomed2,3,FALSE))</f>
        <v/>
      </c>
      <c r="X148" s="118" t="str">
        <f>IF(R148="","",VLOOKUP(R148,snomed,3,FALSE))</f>
        <v/>
      </c>
    </row>
    <row r="149" spans="1:24">
      <c r="A149" s="23" t="s">
        <v>168</v>
      </c>
      <c r="D149" t="str">
        <f t="shared" si="1"/>
        <v/>
      </c>
      <c r="R149" s="27" t="str">
        <f>IF(C149="","",VLOOKUP(C149,svang_snom,3,FALSE))</f>
        <v/>
      </c>
      <c r="S149" s="27" t="str">
        <f>IF(D149="","",VLOOKUP(D149,snomed2,3,FALSE))</f>
        <v/>
      </c>
      <c r="X149" s="118" t="str">
        <f>IF(R149="","",VLOOKUP(R149,snomed,3,FALSE))</f>
        <v/>
      </c>
    </row>
    <row r="150" spans="1:24">
      <c r="A150" s="23" t="s">
        <v>168</v>
      </c>
      <c r="D150" t="str">
        <f t="shared" si="1"/>
        <v/>
      </c>
      <c r="R150" s="27" t="str">
        <f>IF(C150="","",VLOOKUP(C150,svang_snom,3,FALSE))</f>
        <v/>
      </c>
      <c r="S150" s="27" t="str">
        <f>IF(D150="","",VLOOKUP(D150,snomed2,3,FALSE))</f>
        <v/>
      </c>
      <c r="X150" s="118" t="str">
        <f>IF(R150="","",VLOOKUP(R150,snomed,3,FALSE))</f>
        <v/>
      </c>
    </row>
    <row r="151" spans="1:24">
      <c r="A151" s="23" t="s">
        <v>168</v>
      </c>
      <c r="D151" t="str">
        <f t="shared" si="1"/>
        <v/>
      </c>
      <c r="R151" s="27" t="str">
        <f>IF(C151="","",VLOOKUP(C151,svang_snom,3,FALSE))</f>
        <v/>
      </c>
      <c r="S151" s="27" t="str">
        <f>IF(D151="","",VLOOKUP(D151,snomed2,3,FALSE))</f>
        <v/>
      </c>
      <c r="X151" s="118" t="str">
        <f>IF(R151="","",VLOOKUP(R151,snomed,3,FALSE))</f>
        <v/>
      </c>
    </row>
    <row r="152" spans="1:24">
      <c r="A152" s="23" t="s">
        <v>168</v>
      </c>
      <c r="D152" t="str">
        <f t="shared" si="1"/>
        <v/>
      </c>
      <c r="R152" s="27" t="str">
        <f>IF(C152="","",VLOOKUP(C152,svang_snom,3,FALSE))</f>
        <v/>
      </c>
      <c r="S152" s="27" t="str">
        <f>IF(D152="","",VLOOKUP(D152,snomed2,3,FALSE))</f>
        <v/>
      </c>
      <c r="X152" s="118" t="str">
        <f>IF(R152="","",VLOOKUP(R152,snomed,3,FALSE))</f>
        <v/>
      </c>
    </row>
    <row r="153" spans="1:24">
      <c r="A153" s="23" t="s">
        <v>168</v>
      </c>
      <c r="D153" t="str">
        <f t="shared" si="1"/>
        <v/>
      </c>
      <c r="R153" s="27" t="str">
        <f>IF(C153="","",VLOOKUP(C153,svang_snom,3,FALSE))</f>
        <v/>
      </c>
      <c r="S153" s="27" t="str">
        <f>IF(D153="","",VLOOKUP(D153,snomed2,3,FALSE))</f>
        <v/>
      </c>
      <c r="X153" s="118" t="str">
        <f>IF(R153="","",VLOOKUP(R153,snomed,3,FALSE))</f>
        <v/>
      </c>
    </row>
    <row r="154" spans="1:24">
      <c r="A154" s="23" t="s">
        <v>168</v>
      </c>
      <c r="D154" t="str">
        <f t="shared" si="1"/>
        <v/>
      </c>
      <c r="R154" s="27" t="str">
        <f>IF(C154="","",VLOOKUP(C154,svang_snom,3,FALSE))</f>
        <v/>
      </c>
      <c r="S154" s="27" t="str">
        <f>IF(D154="","",VLOOKUP(D154,snomed2,3,FALSE))</f>
        <v/>
      </c>
      <c r="X154" s="118" t="str">
        <f>IF(R154="","",VLOOKUP(R154,snomed,3,FALSE))</f>
        <v/>
      </c>
    </row>
    <row r="155" spans="1:24">
      <c r="A155" s="23" t="s">
        <v>168</v>
      </c>
      <c r="D155" t="str">
        <f t="shared" si="1"/>
        <v/>
      </c>
      <c r="R155" s="27" t="str">
        <f>IF(C155="","",VLOOKUP(C155,svang_snom,3,FALSE))</f>
        <v/>
      </c>
      <c r="S155" s="27" t="str">
        <f>IF(D155="","",VLOOKUP(D155,snomed2,3,FALSE))</f>
        <v/>
      </c>
      <c r="X155" s="118" t="str">
        <f>IF(R155="","",VLOOKUP(R155,snomed,3,FALSE))</f>
        <v/>
      </c>
    </row>
    <row r="156" spans="1:24">
      <c r="A156" s="23" t="s">
        <v>168</v>
      </c>
      <c r="D156" t="str">
        <f t="shared" si="1"/>
        <v/>
      </c>
      <c r="R156" s="27" t="str">
        <f>IF(C156="","",VLOOKUP(C156,svang_snom,3,FALSE))</f>
        <v/>
      </c>
      <c r="S156" s="27" t="str">
        <f>IF(D156="","",VLOOKUP(D156,snomed2,3,FALSE))</f>
        <v/>
      </c>
      <c r="X156" s="118" t="str">
        <f>IF(R156="","",VLOOKUP(R156,snomed,3,FALSE))</f>
        <v/>
      </c>
    </row>
    <row r="157" spans="1:24">
      <c r="A157" s="23" t="s">
        <v>168</v>
      </c>
      <c r="D157" t="str">
        <f t="shared" si="1"/>
        <v/>
      </c>
      <c r="R157" s="27" t="str">
        <f>IF(C157="","",VLOOKUP(C157,svang_snom,3,FALSE))</f>
        <v/>
      </c>
      <c r="S157" s="27" t="str">
        <f>IF(D157="","",VLOOKUP(D157,snomed2,3,FALSE))</f>
        <v/>
      </c>
      <c r="X157" s="118" t="str">
        <f>IF(R157="","",VLOOKUP(R157,snomed,3,FALSE))</f>
        <v/>
      </c>
    </row>
    <row r="158" spans="1:24">
      <c r="A158" s="23" t="s">
        <v>39</v>
      </c>
      <c r="B158" t="s">
        <v>40</v>
      </c>
      <c r="P158" t="str">
        <f>VLOOKUP(A158,snomed2,2,FALSE)</f>
        <v>Relevant information</v>
      </c>
      <c r="Q158" t="str">
        <f>VLOOKUP(A158,snomed2,3,FALSE)</f>
        <v>398005008</v>
      </c>
      <c r="R158" s="27" t="str">
        <f>IF(C158="","",VLOOKUP(C158,svang_snom,3,FALSE))</f>
        <v/>
      </c>
      <c r="S158" s="27" t="str">
        <f>IF(D158="","",VLOOKUP(D158,snomed2,3,FALSE))</f>
        <v/>
      </c>
      <c r="X158" s="118" t="str">
        <f>IF(R158="","",VLOOKUP(R158,snomed,3,FALSE))</f>
        <v/>
      </c>
    </row>
    <row r="159" spans="1:24">
      <c r="A159" s="22" t="s">
        <v>169</v>
      </c>
      <c r="X159" s="118" t="str">
        <f>IF(R159="","",VLOOKUP(R159,snomed,3,FALSE))</f>
        <v/>
      </c>
    </row>
    <row r="160" spans="1:24">
      <c r="A160" s="23" t="s">
        <v>170</v>
      </c>
      <c r="B160" s="64" t="s">
        <v>142</v>
      </c>
      <c r="P160" t="str">
        <f>VLOOKUP(A160,snomed2,2,FALSE)</f>
        <v>sygehistorie: psykisk lidelse</v>
      </c>
      <c r="Q160" t="str">
        <f>VLOOKUP(A160,snomed2,3,FALSE)</f>
        <v>161464003</v>
      </c>
      <c r="R160" s="27" t="str">
        <f>IF(C160="","",VLOOKUP(C160,svang_snom,3,FALSE))</f>
        <v/>
      </c>
      <c r="X160" s="118" t="str">
        <f>IF(R160="","",VLOOKUP(R160,snomed,3,FALSE))</f>
        <v/>
      </c>
    </row>
    <row r="161" spans="1:24">
      <c r="A161" s="23" t="s">
        <v>171</v>
      </c>
      <c r="B161" t="s">
        <v>142</v>
      </c>
      <c r="P161" t="str">
        <f>VLOOKUP(A161,snomed2,2,FALSE)</f>
        <v>procedure udført på patient</v>
      </c>
      <c r="Q161" t="str">
        <f>VLOOKUP(A161,snomed2,3,FALSE)</f>
        <v>443938003</v>
      </c>
      <c r="R161" s="27" t="str">
        <f>IF(C161="","",VLOOKUP(C161,svang_snom,3,FALSE))</f>
        <v/>
      </c>
      <c r="X161" s="118" t="str">
        <f>IF(R161="","",VLOOKUP(R161,snomed,3,FALSE))</f>
        <v/>
      </c>
    </row>
    <row r="162" spans="1:24">
      <c r="A162" s="23" t="s">
        <v>172</v>
      </c>
      <c r="B162" t="s">
        <v>76</v>
      </c>
      <c r="P162" t="str">
        <f>VLOOKUP(A162,snomed2,2,FALSE)</f>
        <v>generel mental tilstand</v>
      </c>
      <c r="Q162" t="str">
        <f>VLOOKUP(A162,snomed2,3,FALSE)</f>
        <v>247571009</v>
      </c>
      <c r="X162" s="118" t="str">
        <f>IF(R162="","",VLOOKUP(R162,snomed,3,FALSE))</f>
        <v/>
      </c>
    </row>
    <row r="163" spans="1:24">
      <c r="A163" s="23" t="s">
        <v>173</v>
      </c>
      <c r="B163" t="s">
        <v>142</v>
      </c>
      <c r="P163" t="str">
        <f>VLOOKUP(A163,snomed2,2,FALSE)</f>
        <v>fund vedr. sociale og personlige forhold</v>
      </c>
      <c r="Q163" t="str">
        <f>VLOOKUP(A163,snomed2,3,FALSE)</f>
        <v>365448001</v>
      </c>
      <c r="R163" s="27" t="str">
        <f>IF(C163="","",VLOOKUP(C163,svang_snom,3,FALSE))</f>
        <v/>
      </c>
      <c r="X163" s="118" t="str">
        <f>IF(R163="","",VLOOKUP(R163,snomed,3,FALSE))</f>
        <v/>
      </c>
    </row>
    <row r="164" spans="1:24">
      <c r="A164" s="23" t="s">
        <v>174</v>
      </c>
      <c r="B164" t="s">
        <v>40</v>
      </c>
      <c r="P164" t="str">
        <f>VLOOKUP(A164,snomed2,2,FALSE)</f>
        <v>familiens sociale klima</v>
      </c>
      <c r="Q164" t="str">
        <f>VLOOKUP(A164,snomed2,3,FALSE)</f>
        <v>405200007</v>
      </c>
      <c r="R164" s="2" t="str">
        <f>IF(C164="","",VLOOKUP(Målinger!C163,Datavalidering!$Q$48:$S$65,3,FALSE))</f>
        <v/>
      </c>
      <c r="X164" s="118" t="str">
        <f>IF(R164="","",VLOOKUP(R164,snomed,3,FALSE))</f>
        <v/>
      </c>
    </row>
    <row r="165" spans="1:24">
      <c r="R165" s="2" t="str">
        <f>IF(C165="","",VLOOKUP(Målinger!C164,Datavalidering!$Q$48:$S$65,3,FALSE))</f>
        <v/>
      </c>
      <c r="X165" s="118" t="str">
        <f>IF(R165="","",VLOOKUP(R165,snomed,3,FALSE))</f>
        <v/>
      </c>
    </row>
    <row r="166" spans="1:24">
      <c r="R166" s="2" t="str">
        <f>IF(C166="","",VLOOKUP(Målinger!C165,Datavalidering!$Q$48:$S$65,3,FALSE))</f>
        <v/>
      </c>
    </row>
    <row r="167" spans="1:24">
      <c r="R167" s="2"/>
    </row>
    <row r="168" spans="1:24">
      <c r="R168" s="2"/>
    </row>
    <row r="169" spans="1:24">
      <c r="R169" s="2" t="str">
        <f>IF(C169="","",VLOOKUP(Målinger!C168,Datavalidering!$Q$48:$S$65,3,FALSE))</f>
        <v/>
      </c>
      <c r="X169" s="118" t="str">
        <f>IF(W169="","",VLOOKUP(W169,snomed,3,FALSE))</f>
        <v/>
      </c>
    </row>
    <row r="170" spans="1:24">
      <c r="R170" s="2" t="str">
        <f>IF(C170="","",VLOOKUP(Målinger!C169,Datavalidering!$Q$48:$S$65,3,FALSE))</f>
        <v/>
      </c>
    </row>
    <row r="171" spans="1:24">
      <c r="R171" s="2" t="str">
        <f>IF(C171="","",VLOOKUP(Målinger!C170,Datavalidering!$Q$48:$S$60,3,FALSE))</f>
        <v/>
      </c>
    </row>
    <row r="172" spans="1:24">
      <c r="R172" s="2" t="str">
        <f>IF(C172="","",VLOOKUP(Målinger!C171,Datavalidering!$Q$48:$S$65,3,FALSE))</f>
        <v/>
      </c>
    </row>
    <row r="173" spans="1:24">
      <c r="R173" s="2" t="str">
        <f>IF(C173="","",VLOOKUP(Målinger!C172,Datavalidering!$Q$48:$S$65,3,FALSE))</f>
        <v/>
      </c>
    </row>
    <row r="174" spans="1:24">
      <c r="R174" s="2" t="str">
        <f>IF(C174="","",VLOOKUP(Målinger!C173,Datavalidering!$Q$48:$S$65,3,FALSE))</f>
        <v/>
      </c>
    </row>
    <row r="175" spans="1:24">
      <c r="R175" s="2" t="str">
        <f>IF(C175="","",VLOOKUP(Målinger!C174,Datavalidering!$Q$48:$S$65,3,FALSE))</f>
        <v/>
      </c>
    </row>
    <row r="176" spans="1:24">
      <c r="R176" s="2" t="str">
        <f>IF(C176="","",VLOOKUP(Målinger!C175,Datavalidering!$Q$48:$S$65,3,FALSE))</f>
        <v/>
      </c>
    </row>
    <row r="177" spans="18:24">
      <c r="R177" s="2" t="str">
        <f>IF(C177="","",VLOOKUP(Målinger!C176,Datavalidering!$Q$60:$S$65,3,FALSE))</f>
        <v/>
      </c>
    </row>
    <row r="178" spans="18:24">
      <c r="R178" s="2" t="str">
        <f>IF(C178="","",VLOOKUP(Målinger!C177,Datavalidering!$Q$48:$S$65,3,FALSE))</f>
        <v/>
      </c>
    </row>
    <row r="179" spans="18:24">
      <c r="R179" s="2" t="str">
        <f>IF(C179="","",VLOOKUP(Målinger!C178,Datavalidering!$Q$48:$S$65,3,FALSE))</f>
        <v/>
      </c>
    </row>
    <row r="180" spans="18:24" ht="15" customHeight="1">
      <c r="X180" s="118" t="str">
        <f>IF(W180="","",VLOOKUP(W180,snomed,3,FALSE))</f>
        <v/>
      </c>
    </row>
    <row r="181" spans="18:24" ht="15" customHeight="1">
      <c r="X181" s="118" t="str">
        <f>IF(W181="","",VLOOKUP(W181,snomed,3,FALSE))</f>
        <v/>
      </c>
    </row>
    <row r="182" spans="18:24" ht="15" customHeight="1">
      <c r="X182" s="118" t="str">
        <f>IF(W182="","",VLOOKUP(W182,snomed,3,FALSE))</f>
        <v/>
      </c>
    </row>
    <row r="194" spans="18:24" ht="15" customHeight="1">
      <c r="X194" s="118" t="str">
        <f>IF(W194="","",VLOOKUP(W194,snomed,3,FALSE))</f>
        <v/>
      </c>
    </row>
    <row r="195" spans="18:24" ht="15" customHeight="1">
      <c r="X195" s="118" t="str">
        <f>IF(W195="","",VLOOKUP(W195,snomed,3,FALSE))</f>
        <v/>
      </c>
    </row>
    <row r="197" spans="18:24" ht="15" customHeight="1">
      <c r="X197" s="118" t="str">
        <f>IF(W197="","",VLOOKUP(W197,snomed,3,FALSE))</f>
        <v/>
      </c>
    </row>
    <row r="199" spans="18:24">
      <c r="R199" s="2" t="str">
        <f>IF(C199="","",VLOOKUP(Målinger!C198,Datavalidering!$Q$48:$S$65,3,FALSE))</f>
        <v/>
      </c>
      <c r="X199" s="118" t="str">
        <f>IF(W199="","",VLOOKUP(W199,snomed,3,FALSE))</f>
        <v/>
      </c>
    </row>
    <row r="200" spans="18:24">
      <c r="R200" s="2" t="str">
        <f>IF(C200="","",VLOOKUP(Målinger!C199,Datavalidering!$Q$48:$S$65,3,FALSE))</f>
        <v/>
      </c>
    </row>
    <row r="201" spans="18:24">
      <c r="R201" s="2" t="str">
        <f>IF(C201="","",VLOOKUP(Målinger!C200,Datavalidering!$Q$48:$S$65,3,FALSE))</f>
        <v/>
      </c>
    </row>
    <row r="202" spans="18:24">
      <c r="R202" s="2"/>
    </row>
    <row r="203" spans="18:24">
      <c r="R203" s="2"/>
    </row>
    <row r="204" spans="18:24">
      <c r="R204" s="2" t="str">
        <f>IF(C204="","",VLOOKUP(Målinger!C203,Datavalidering!$Q$48:$S$65,3,FALSE))</f>
        <v/>
      </c>
    </row>
    <row r="205" spans="18:24">
      <c r="R205" s="2" t="str">
        <f>IF(C205="","",VLOOKUP(Målinger!C204,Datavalidering!$Q$48:$S$65,3,FALSE))</f>
        <v/>
      </c>
    </row>
    <row r="206" spans="18:24">
      <c r="R206" s="2" t="str">
        <f>IF(C206="","",VLOOKUP(Målinger!C205,Datavalidering!$Q$48:$S$60,3,FALSE))</f>
        <v/>
      </c>
    </row>
    <row r="207" spans="18:24">
      <c r="R207" s="2" t="str">
        <f>IF(C207="","",VLOOKUP(Målinger!C206,Datavalidering!$Q$48:$S$65,3,FALSE))</f>
        <v/>
      </c>
    </row>
    <row r="208" spans="18:24">
      <c r="R208" s="2" t="str">
        <f>IF(C208="","",VLOOKUP(Målinger!C207,Datavalidering!$Q$48:$S$65,3,FALSE))</f>
        <v/>
      </c>
    </row>
    <row r="209" spans="18:24">
      <c r="R209" s="2" t="str">
        <f>IF(C209="","",VLOOKUP(Målinger!C208,Datavalidering!$Q$48:$S$65,3,FALSE))</f>
        <v/>
      </c>
    </row>
    <row r="210" spans="18:24">
      <c r="R210" s="2" t="str">
        <f>IF(C210="","",VLOOKUP(Målinger!C209,Datavalidering!$Q$48:$S$65,3,FALSE))</f>
        <v/>
      </c>
      <c r="X210" s="118" t="str">
        <f>IF(W210="","",VLOOKUP(W210,snomed,3,FALSE))</f>
        <v/>
      </c>
    </row>
    <row r="211" spans="18:24">
      <c r="R211" s="2" t="str">
        <f>IF(C211="","",VLOOKUP(Målinger!C210,Datavalidering!$Q$48:$S$65,3,FALSE))</f>
        <v/>
      </c>
    </row>
    <row r="212" spans="18:24">
      <c r="R212" s="2" t="str">
        <f>IF(C212="","",VLOOKUP(Målinger!C211,Datavalidering!$Q$60:$S$65,3,FALSE))</f>
        <v/>
      </c>
    </row>
    <row r="213" spans="18:24">
      <c r="R213" s="2" t="str">
        <f>IF(C213="","",VLOOKUP(Målinger!C212,Datavalidering!$Q$48:$S$65,3,FALSE))</f>
        <v/>
      </c>
      <c r="X213" s="118" t="str">
        <f>IF(W213="","",VLOOKUP(W213,snomed,3,FALSE))</f>
        <v/>
      </c>
    </row>
    <row r="214" spans="18:24">
      <c r="R214" s="2" t="str">
        <f>IF(C214="","",VLOOKUP(Målinger!C213,Datavalidering!$Q$48:$S$65,3,FALSE))</f>
        <v/>
      </c>
    </row>
    <row r="215" spans="18:24" ht="15" customHeight="1">
      <c r="X215" s="118" t="str">
        <f>IF(W215="","",VLOOKUP(W215,snomed,3,FALSE))</f>
        <v/>
      </c>
    </row>
    <row r="217" spans="18:24" ht="15" customHeight="1">
      <c r="X217" s="118" t="str">
        <f>IF(W217="","",VLOOKUP(W217,snomed,3,FALSE))</f>
        <v/>
      </c>
    </row>
    <row r="219" spans="18:24" ht="15" customHeight="1">
      <c r="X219" s="118" t="str">
        <f>IF(W219="","",VLOOKUP(W219,snomed,3,FALSE))</f>
        <v/>
      </c>
    </row>
    <row r="220" spans="18:24" ht="15" customHeight="1">
      <c r="X220" s="118" t="str">
        <f>IF(W220="","",VLOOKUP(W220,snomed,3,FALSE))</f>
        <v/>
      </c>
    </row>
    <row r="222" spans="18:24" ht="15" customHeight="1">
      <c r="X222" s="118" t="str">
        <f>IF(W222="","",VLOOKUP(W222,snomed,3,FALSE))</f>
        <v/>
      </c>
    </row>
    <row r="223" spans="18:24" ht="15" customHeight="1">
      <c r="X223" s="118" t="str">
        <f>IF(W223="","",VLOOKUP(W223,snomed,3,FALSE))</f>
        <v/>
      </c>
    </row>
    <row r="224" spans="18:24" ht="15" customHeight="1">
      <c r="X224" s="118" t="str">
        <f>IF(W224="","",VLOOKUP(W224,snomed,3,FALSE))</f>
        <v/>
      </c>
    </row>
    <row r="225" spans="18:24" ht="15" customHeight="1">
      <c r="X225" s="118" t="str">
        <f>IF(W225="","",VLOOKUP(W225,snomed,3,FALSE))</f>
        <v/>
      </c>
    </row>
    <row r="226" spans="18:24" ht="15" customHeight="1">
      <c r="X226" s="118" t="str">
        <f>IF(W226="","",VLOOKUP(W226,snomed,3,FALSE))</f>
        <v/>
      </c>
    </row>
    <row r="229" spans="18:24" ht="15" customHeight="1">
      <c r="X229" s="118" t="str">
        <f>IF(W229="","",VLOOKUP(W229,snomed,3,FALSE))</f>
        <v/>
      </c>
    </row>
    <row r="231" spans="18:24" ht="15" customHeight="1">
      <c r="X231" s="118" t="str">
        <f>IF(W231="","",VLOOKUP(W231,snomed,3,FALSE))</f>
        <v/>
      </c>
    </row>
    <row r="233" spans="18:24" ht="15" customHeight="1">
      <c r="X233" s="118" t="str">
        <f>IF(W233="","",VLOOKUP(W233,snomed,3,FALSE))</f>
        <v/>
      </c>
    </row>
    <row r="234" spans="18:24">
      <c r="R234" s="2" t="str">
        <f>IF(C234="","",VLOOKUP(Målinger!C233,Datavalidering!$Q$48:$S$65,3,FALSE))</f>
        <v/>
      </c>
    </row>
    <row r="235" spans="18:24">
      <c r="R235" s="2" t="str">
        <f>IF(C235="","",VLOOKUP(Målinger!C234,Datavalidering!$Q$48:$S$65,3,FALSE))</f>
        <v/>
      </c>
      <c r="X235" s="118" t="str">
        <f>IF(W235="","",VLOOKUP(W235,snomed,3,FALSE))</f>
        <v/>
      </c>
    </row>
    <row r="236" spans="18:24">
      <c r="R236" s="2" t="str">
        <f>IF(C236="","",VLOOKUP(Målinger!C235,Datavalidering!$Q$48:$S$65,3,FALSE))</f>
        <v/>
      </c>
    </row>
    <row r="237" spans="18:24">
      <c r="R237" s="2"/>
      <c r="X237" s="118" t="str">
        <f>IF(W237="","",VLOOKUP(W237,snomed,3,FALSE))</f>
        <v/>
      </c>
    </row>
    <row r="238" spans="18:24">
      <c r="R238" s="2"/>
      <c r="X238" s="118" t="str">
        <f>IF(W238="","",VLOOKUP(W238,snomed,3,FALSE))</f>
        <v/>
      </c>
    </row>
    <row r="239" spans="18:24">
      <c r="R239" s="2" t="str">
        <f>IF(C239="","",VLOOKUP(Målinger!C238,Datavalidering!$Q$48:$S$65,3,FALSE))</f>
        <v/>
      </c>
    </row>
    <row r="240" spans="18:24">
      <c r="R240" s="2" t="str">
        <f>IF(C240="","",VLOOKUP(Målinger!C239,Datavalidering!$Q$48:$S$65,3,FALSE))</f>
        <v/>
      </c>
    </row>
    <row r="241" spans="18:24">
      <c r="R241" s="2" t="str">
        <f>IF(C241="","",VLOOKUP(Målinger!C240,Datavalidering!$Q$48:$S$60,3,FALSE))</f>
        <v/>
      </c>
      <c r="X241" s="118" t="str">
        <f>IF(W241="","",VLOOKUP(W241,snomed,3,FALSE))</f>
        <v/>
      </c>
    </row>
    <row r="242" spans="18:24">
      <c r="R242" s="2" t="str">
        <f>IF(C242="","",VLOOKUP(Målinger!C241,Datavalidering!$Q$48:$S$65,3,FALSE))</f>
        <v/>
      </c>
    </row>
    <row r="243" spans="18:24">
      <c r="R243" s="2" t="str">
        <f>IF(C243="","",VLOOKUP(Målinger!C242,Datavalidering!$Q$48:$S$65,3,FALSE))</f>
        <v/>
      </c>
      <c r="X243" s="118" t="str">
        <f>IF(W243="","",VLOOKUP(W243,snomed,3,FALSE))</f>
        <v/>
      </c>
    </row>
    <row r="244" spans="18:24">
      <c r="R244" s="2" t="str">
        <f>IF(C244="","",VLOOKUP(Målinger!C243,Datavalidering!$Q$48:$S$65,3,FALSE))</f>
        <v/>
      </c>
    </row>
    <row r="245" spans="18:24">
      <c r="R245" s="2" t="str">
        <f>IF(C245="","",VLOOKUP(Målinger!C244,Datavalidering!$Q$48:$S$65,3,FALSE))</f>
        <v/>
      </c>
    </row>
    <row r="246" spans="18:24">
      <c r="R246" s="2" t="str">
        <f>IF(C246="","",VLOOKUP(Målinger!C245,Datavalidering!$Q$48:$S$65,3,FALSE))</f>
        <v/>
      </c>
    </row>
    <row r="247" spans="18:24">
      <c r="R247" s="2" t="str">
        <f>IF(C247="","",VLOOKUP(Målinger!C246,Datavalidering!$Q$60:$S$65,3,FALSE))</f>
        <v/>
      </c>
    </row>
    <row r="248" spans="18:24">
      <c r="R248" s="2" t="str">
        <f>IF(C248="","",VLOOKUP(Målinger!C247,Datavalidering!$Q$48:$S$65,3,FALSE))</f>
        <v/>
      </c>
    </row>
    <row r="249" spans="18:24">
      <c r="R249" s="2" t="str">
        <f>IF(C249="","",VLOOKUP(Målinger!C248,Datavalidering!$Q$48:$S$65,3,FALSE))</f>
        <v/>
      </c>
      <c r="X249" s="118" t="str">
        <f>IF(W249="","",VLOOKUP(W249,snomed,3,FALSE))</f>
        <v/>
      </c>
    </row>
    <row r="251" spans="18:24" ht="15" customHeight="1">
      <c r="X251" s="118" t="str">
        <f>IF(W251="","",VLOOKUP(W251,snomed,3,FALSE))</f>
        <v/>
      </c>
    </row>
    <row r="252" spans="18:24" ht="15" customHeight="1">
      <c r="X252" s="118" t="str">
        <f>IF(W252="","",VLOOKUP(W252,snomed,3,FALSE))</f>
        <v/>
      </c>
    </row>
    <row r="253" spans="18:24" ht="15" customHeight="1">
      <c r="X253" s="118" t="str">
        <f>IF(W253="","",VLOOKUP(W253,snomed,3,FALSE))</f>
        <v/>
      </c>
    </row>
    <row r="254" spans="18:24" ht="15" customHeight="1">
      <c r="X254" s="118" t="str">
        <f>IF(W254="","",VLOOKUP(W254,snomed,3,FALSE))</f>
        <v/>
      </c>
    </row>
    <row r="255" spans="18:24" ht="15" customHeight="1">
      <c r="X255" s="118" t="str">
        <f>IF(W255="","",VLOOKUP(W255,snomed,3,FALSE))</f>
        <v/>
      </c>
    </row>
    <row r="260" spans="18:24" ht="15" customHeight="1">
      <c r="X260" s="118" t="str">
        <f>IF(W260="","",VLOOKUP(W260,snomed,3,FALSE))</f>
        <v/>
      </c>
    </row>
    <row r="261" spans="18:24" ht="15" customHeight="1">
      <c r="X261" s="118" t="str">
        <f>IF(W261="","",VLOOKUP(W261,snomed,3,FALSE))</f>
        <v/>
      </c>
    </row>
    <row r="262" spans="18:24" ht="15" customHeight="1">
      <c r="X262" s="118" t="str">
        <f>IF(W262="","",VLOOKUP(W262,snomed,3,FALSE))</f>
        <v/>
      </c>
    </row>
    <row r="263" spans="18:24" ht="15" customHeight="1">
      <c r="X263" s="118" t="str">
        <f>IF(W263="","",VLOOKUP(W263,snomed,3,FALSE))</f>
        <v/>
      </c>
    </row>
    <row r="264" spans="18:24" ht="15" customHeight="1">
      <c r="X264" s="118" t="str">
        <f>IF(W264="","",VLOOKUP(W264,snomed,3,FALSE))</f>
        <v/>
      </c>
    </row>
    <row r="265" spans="18:24" ht="15" customHeight="1">
      <c r="X265" s="118" t="str">
        <f>IF(W265="","",VLOOKUP(W265,snomed,3,FALSE))</f>
        <v/>
      </c>
    </row>
    <row r="269" spans="18:24">
      <c r="R269" s="2" t="str">
        <f>IF(C269="","",VLOOKUP(Målinger!C268,Datavalidering!$Q$48:$S$65,3,FALSE))</f>
        <v/>
      </c>
      <c r="X269" s="118" t="str">
        <f>IF(W269="","",VLOOKUP(W269,snomed,3,FALSE))</f>
        <v/>
      </c>
    </row>
    <row r="270" spans="18:24">
      <c r="R270" s="2" t="str">
        <f>IF(C270="","",VLOOKUP(Målinger!C269,Datavalidering!$Q$48:$S$65,3,FALSE))</f>
        <v/>
      </c>
    </row>
    <row r="271" spans="18:24">
      <c r="R271" s="2" t="str">
        <f>IF(C271="","",VLOOKUP(Målinger!C270,Datavalidering!$Q$48:$S$65,3,FALSE))</f>
        <v/>
      </c>
    </row>
    <row r="272" spans="18:24">
      <c r="R272" s="2"/>
    </row>
    <row r="273" spans="18:24">
      <c r="R273" s="2"/>
    </row>
    <row r="274" spans="18:24">
      <c r="R274" s="2" t="str">
        <f>IF(C274="","",VLOOKUP(Målinger!C273,Datavalidering!$Q$48:$S$65,3,FALSE))</f>
        <v/>
      </c>
    </row>
    <row r="275" spans="18:24">
      <c r="R275" s="2" t="str">
        <f>IF(C275="","",VLOOKUP(Målinger!C274,Datavalidering!$Q$48:$S$65,3,FALSE))</f>
        <v/>
      </c>
    </row>
    <row r="276" spans="18:24">
      <c r="R276" s="2" t="str">
        <f>IF(C276="","",VLOOKUP(Målinger!C275,Datavalidering!$Q$48:$S$60,3,FALSE))</f>
        <v/>
      </c>
    </row>
    <row r="277" spans="18:24">
      <c r="R277" s="2" t="str">
        <f>IF(C277="","",VLOOKUP(Målinger!C276,Datavalidering!$Q$48:$S$65,3,FALSE))</f>
        <v/>
      </c>
    </row>
    <row r="278" spans="18:24">
      <c r="R278" s="2" t="str">
        <f>IF(C278="","",VLOOKUP(Målinger!C277,Datavalidering!$Q$48:$S$65,3,FALSE))</f>
        <v/>
      </c>
    </row>
    <row r="279" spans="18:24">
      <c r="R279" s="2" t="str">
        <f>IF(C279="","",VLOOKUP(Målinger!C278,Datavalidering!$Q$48:$S$65,3,FALSE))</f>
        <v/>
      </c>
    </row>
    <row r="280" spans="18:24">
      <c r="R280" s="2" t="str">
        <f>IF(C280="","",VLOOKUP(Målinger!C279,Datavalidering!$Q$48:$S$65,3,FALSE))</f>
        <v/>
      </c>
      <c r="X280" s="118" t="str">
        <f>IF(W280="","",VLOOKUP(W280,snomed,3,FALSE))</f>
        <v/>
      </c>
    </row>
    <row r="281" spans="18:24">
      <c r="R281" s="2" t="str">
        <f>IF(C281="","",VLOOKUP(Målinger!C280,Datavalidering!$Q$48:$S$65,3,FALSE))</f>
        <v/>
      </c>
      <c r="X281" s="118" t="str">
        <f>IF(W281="","",VLOOKUP(W281,snomed,3,FALSE))</f>
        <v/>
      </c>
    </row>
    <row r="282" spans="18:24">
      <c r="R282" s="2" t="str">
        <f>IF(C282="","",VLOOKUP(Målinger!C281,Datavalidering!$Q$60:$S$65,3,FALSE))</f>
        <v/>
      </c>
      <c r="X282" s="118" t="str">
        <f>IF(W282="","",VLOOKUP(W282,snomed,3,FALSE))</f>
        <v/>
      </c>
    </row>
    <row r="283" spans="18:24">
      <c r="R283" s="2" t="str">
        <f>IF(C283="","",VLOOKUP(Målinger!C282,Datavalidering!$Q$48:$S$65,3,FALSE))</f>
        <v/>
      </c>
    </row>
    <row r="284" spans="18:24">
      <c r="R284" s="2" t="str">
        <f>IF(C284="","",VLOOKUP(Målinger!C283,Datavalidering!$Q$48:$S$65,3,FALSE))</f>
        <v/>
      </c>
    </row>
    <row r="294" spans="18:24" ht="15" customHeight="1">
      <c r="X294" s="118" t="str">
        <f>IF(W294="","",VLOOKUP(W294,snomed,3,FALSE))</f>
        <v/>
      </c>
    </row>
    <row r="295" spans="18:24" ht="15" customHeight="1">
      <c r="X295" s="118" t="str">
        <f>IF(W295="","",VLOOKUP(W295,snomed,3,FALSE))</f>
        <v/>
      </c>
    </row>
    <row r="297" spans="18:24" ht="15" customHeight="1">
      <c r="X297" s="118" t="str">
        <f>IF(W297="","",VLOOKUP(W297,snomed,3,FALSE))</f>
        <v/>
      </c>
    </row>
    <row r="299" spans="18:24" ht="15" customHeight="1">
      <c r="X299" s="118" t="str">
        <f>IF(W299="","",VLOOKUP(W299,snomed,3,FALSE))</f>
        <v/>
      </c>
    </row>
    <row r="304" spans="18:24">
      <c r="R304" s="2" t="str">
        <f>IF(C304="","",VLOOKUP(Målinger!C303,Datavalidering!$Q$48:$S$65,3,FALSE))</f>
        <v/>
      </c>
    </row>
    <row r="305" spans="18:24">
      <c r="R305" s="2" t="str">
        <f>IF(C305="","",VLOOKUP(Målinger!C304,Datavalidering!$Q$48:$S$65,3,FALSE))</f>
        <v/>
      </c>
    </row>
    <row r="306" spans="18:24">
      <c r="R306" s="2" t="str">
        <f>IF(C306="","",VLOOKUP(Målinger!C305,Datavalidering!$Q$48:$S$65,3,FALSE))</f>
        <v/>
      </c>
    </row>
    <row r="307" spans="18:24">
      <c r="R307" s="2"/>
    </row>
    <row r="308" spans="18:24">
      <c r="R308" s="2"/>
    </row>
    <row r="309" spans="18:24">
      <c r="R309" s="2" t="str">
        <f>IF(C309="","",VLOOKUP(Målinger!C308,Datavalidering!$Q$48:$S$65,3,FALSE))</f>
        <v/>
      </c>
    </row>
    <row r="310" spans="18:24">
      <c r="R310" s="2" t="str">
        <f>IF(C310="","",VLOOKUP(Målinger!C309,Datavalidering!$Q$48:$S$65,3,FALSE))</f>
        <v/>
      </c>
      <c r="X310" s="118" t="str">
        <f>IF(W310="","",VLOOKUP(W310,snomed,3,FALSE))</f>
        <v/>
      </c>
    </row>
    <row r="311" spans="18:24">
      <c r="R311" s="2" t="str">
        <f>IF(C311="","",VLOOKUP(Målinger!C310,Datavalidering!$Q$48:$S$60,3,FALSE))</f>
        <v/>
      </c>
    </row>
    <row r="312" spans="18:24">
      <c r="R312" s="2" t="str">
        <f>IF(C312="","",VLOOKUP(Målinger!C311,Datavalidering!$Q$48:$S$65,3,FALSE))</f>
        <v/>
      </c>
    </row>
    <row r="313" spans="18:24">
      <c r="R313" s="2" t="str">
        <f>IF(C313="","",VLOOKUP(Målinger!C312,Datavalidering!$Q$48:$S$65,3,FALSE))</f>
        <v/>
      </c>
      <c r="X313" s="118" t="str">
        <f>IF(W313="","",VLOOKUP(W313,snomed,3,FALSE))</f>
        <v/>
      </c>
    </row>
    <row r="314" spans="18:24">
      <c r="R314" s="2" t="str">
        <f>IF(C314="","",VLOOKUP(Målinger!C313,Datavalidering!$Q$48:$S$65,3,FALSE))</f>
        <v/>
      </c>
    </row>
    <row r="315" spans="18:24">
      <c r="R315" s="2" t="str">
        <f>IF(C315="","",VLOOKUP(Målinger!C314,Datavalidering!$Q$48:$S$65,3,FALSE))</f>
        <v/>
      </c>
      <c r="X315" s="118" t="str">
        <f>IF(W315="","",VLOOKUP(W315,snomed,3,FALSE))</f>
        <v/>
      </c>
    </row>
    <row r="316" spans="18:24">
      <c r="R316" s="2" t="str">
        <f>IF(C316="","",VLOOKUP(Målinger!C315,Datavalidering!$Q$48:$S$65,3,FALSE))</f>
        <v/>
      </c>
    </row>
    <row r="317" spans="18:24">
      <c r="R317" s="2" t="str">
        <f>IF(C317="","",VLOOKUP(Målinger!C316,Datavalidering!$Q$60:$S$65,3,FALSE))</f>
        <v/>
      </c>
      <c r="X317" s="118" t="str">
        <f>IF(W317="","",VLOOKUP(W317,snomed,3,FALSE))</f>
        <v/>
      </c>
    </row>
    <row r="318" spans="18:24">
      <c r="R318" s="2" t="str">
        <f>IF(C318="","",VLOOKUP(Målinger!C317,Datavalidering!$Q$48:$S$65,3,FALSE))</f>
        <v/>
      </c>
    </row>
    <row r="319" spans="18:24">
      <c r="R319" s="2" t="str">
        <f>IF(C319="","",VLOOKUP(Målinger!C318,Datavalidering!$Q$48:$S$65,3,FALSE))</f>
        <v/>
      </c>
      <c r="X319" s="118" t="str">
        <f>IF(W319="","",VLOOKUP(W319,snomed,3,FALSE))</f>
        <v/>
      </c>
    </row>
    <row r="320" spans="18:24" ht="15" customHeight="1">
      <c r="X320" s="118" t="str">
        <f>IF(W320="","",VLOOKUP(W320,snomed,3,FALSE))</f>
        <v/>
      </c>
    </row>
    <row r="322" spans="24:24" ht="15" customHeight="1">
      <c r="X322" s="118" t="str">
        <f>IF(W322="","",VLOOKUP(W322,snomed,3,FALSE))</f>
        <v/>
      </c>
    </row>
    <row r="323" spans="24:24" ht="15" customHeight="1">
      <c r="X323" s="118" t="str">
        <f>IF(W323="","",VLOOKUP(W323,snomed,3,FALSE))</f>
        <v/>
      </c>
    </row>
    <row r="324" spans="24:24" ht="15" customHeight="1">
      <c r="X324" s="118" t="str">
        <f>IF(W324="","",VLOOKUP(W324,snomed,3,FALSE))</f>
        <v/>
      </c>
    </row>
    <row r="325" spans="24:24" ht="15" customHeight="1">
      <c r="X325" s="118" t="str">
        <f>IF(W325="","",VLOOKUP(W325,snomed,3,FALSE))</f>
        <v/>
      </c>
    </row>
    <row r="326" spans="24:24" ht="15" customHeight="1">
      <c r="X326" s="118" t="str">
        <f>IF(W326="","",VLOOKUP(W326,snomed,3,FALSE))</f>
        <v/>
      </c>
    </row>
    <row r="329" spans="24:24" ht="15" customHeight="1">
      <c r="X329" s="118" t="str">
        <f>IF(W329="","",VLOOKUP(W329,snomed,3,FALSE))</f>
        <v/>
      </c>
    </row>
    <row r="331" spans="24:24" ht="15" customHeight="1">
      <c r="X331" s="118" t="str">
        <f>IF(W331="","",VLOOKUP(W331,snomed,3,FALSE))</f>
        <v/>
      </c>
    </row>
    <row r="333" spans="24:24" ht="15" customHeight="1">
      <c r="X333" s="118" t="str">
        <f>IF(W333="","",VLOOKUP(W333,snomed,3,FALSE))</f>
        <v/>
      </c>
    </row>
    <row r="335" spans="24:24" ht="15" customHeight="1">
      <c r="X335" s="118" t="str">
        <f>IF(W335="","",VLOOKUP(W335,snomed,3,FALSE))</f>
        <v/>
      </c>
    </row>
    <row r="337" spans="18:24" ht="15" customHeight="1">
      <c r="X337" s="118" t="str">
        <f>IF(W337="","",VLOOKUP(W337,snomed,3,FALSE))</f>
        <v/>
      </c>
    </row>
    <row r="338" spans="18:24" ht="15" customHeight="1">
      <c r="X338" s="118" t="str">
        <f>IF(W338="","",VLOOKUP(W338,snomed,3,FALSE))</f>
        <v/>
      </c>
    </row>
    <row r="339" spans="18:24">
      <c r="R339" s="2" t="str">
        <f>IF(C339="","",VLOOKUP(Målinger!C338,Datavalidering!$Q$48:$S$65,3,FALSE))</f>
        <v/>
      </c>
    </row>
    <row r="340" spans="18:24">
      <c r="R340" s="2" t="str">
        <f>IF(C340="","",VLOOKUP(Målinger!C339,Datavalidering!$Q$48:$S$65,3,FALSE))</f>
        <v/>
      </c>
    </row>
    <row r="341" spans="18:24">
      <c r="R341" s="2" t="str">
        <f>IF(C341="","",VLOOKUP(Målinger!C340,Datavalidering!$Q$48:$S$65,3,FALSE))</f>
        <v/>
      </c>
      <c r="X341" s="118" t="str">
        <f>IF(W341="","",VLOOKUP(W341,snomed,3,FALSE))</f>
        <v/>
      </c>
    </row>
    <row r="342" spans="18:24">
      <c r="R342" s="2"/>
    </row>
    <row r="343" spans="18:24">
      <c r="R343" s="2"/>
      <c r="X343" s="118" t="str">
        <f>IF(W343="","",VLOOKUP(W343,snomed,3,FALSE))</f>
        <v/>
      </c>
    </row>
    <row r="344" spans="18:24">
      <c r="R344" s="2" t="str">
        <f>IF(C344="","",VLOOKUP(Målinger!C343,Datavalidering!$Q$48:$S$65,3,FALSE))</f>
        <v/>
      </c>
    </row>
    <row r="345" spans="18:24">
      <c r="R345" s="2" t="str">
        <f>IF(C345="","",VLOOKUP(Målinger!C344,Datavalidering!$Q$48:$S$65,3,FALSE))</f>
        <v/>
      </c>
    </row>
    <row r="346" spans="18:24">
      <c r="R346" s="2" t="str">
        <f>IF(C346="","",VLOOKUP(Målinger!C345,Datavalidering!$Q$48:$S$60,3,FALSE))</f>
        <v/>
      </c>
    </row>
    <row r="347" spans="18:24">
      <c r="R347" s="2" t="str">
        <f>IF(C347="","",VLOOKUP(Målinger!C346,Datavalidering!$Q$48:$S$65,3,FALSE))</f>
        <v/>
      </c>
    </row>
    <row r="348" spans="18:24">
      <c r="R348" s="2" t="str">
        <f>IF(C348="","",VLOOKUP(Målinger!C347,Datavalidering!$Q$48:$S$65,3,FALSE))</f>
        <v/>
      </c>
    </row>
    <row r="349" spans="18:24">
      <c r="R349" s="2" t="str">
        <f>IF(C349="","",VLOOKUP(Målinger!C348,Datavalidering!$Q$48:$S$65,3,FALSE))</f>
        <v/>
      </c>
      <c r="X349" s="118" t="str">
        <f>IF(W349="","",VLOOKUP(W349,snomed,3,FALSE))</f>
        <v/>
      </c>
    </row>
    <row r="350" spans="18:24">
      <c r="R350" s="2" t="str">
        <f>IF(C350="","",VLOOKUP(Målinger!C349,Datavalidering!$Q$48:$S$65,3,FALSE))</f>
        <v/>
      </c>
    </row>
    <row r="351" spans="18:24">
      <c r="R351" s="2" t="str">
        <f>IF(C351="","",VLOOKUP(Målinger!C350,Datavalidering!$Q$48:$S$65,3,FALSE))</f>
        <v/>
      </c>
      <c r="X351" s="118" t="str">
        <f>IF(W351="","",VLOOKUP(W351,snomed,3,FALSE))</f>
        <v/>
      </c>
    </row>
    <row r="352" spans="18:24">
      <c r="R352" s="2" t="str">
        <f>IF(C352="","",VLOOKUP(Målinger!C351,Datavalidering!$Q$60:$S$65,3,FALSE))</f>
        <v/>
      </c>
      <c r="X352" s="118" t="str">
        <f>IF(W352="","",VLOOKUP(W352,snomed,3,FALSE))</f>
        <v/>
      </c>
    </row>
    <row r="353" spans="18:24">
      <c r="R353" s="2" t="str">
        <f>IF(C353="","",VLOOKUP(Målinger!C352,Datavalidering!$Q$48:$S$65,3,FALSE))</f>
        <v/>
      </c>
      <c r="X353" s="118" t="str">
        <f>IF(W353="","",VLOOKUP(W353,snomed,3,FALSE))</f>
        <v/>
      </c>
    </row>
    <row r="354" spans="18:24" ht="15" customHeight="1">
      <c r="X354" s="118" t="str">
        <f>IF(W354="","",VLOOKUP(W354,snomed,3,FALSE))</f>
        <v/>
      </c>
    </row>
    <row r="355" spans="18:24" ht="15" customHeight="1">
      <c r="X355" s="118" t="str">
        <f>IF(W355="","",VLOOKUP(W355,snomed,3,FALSE))</f>
        <v/>
      </c>
    </row>
    <row r="360" spans="18:24" ht="15" customHeight="1">
      <c r="X360" s="118" t="str">
        <f>IF(W360="","",VLOOKUP(W360,snomed,3,FALSE))</f>
        <v/>
      </c>
    </row>
    <row r="361" spans="18:24" ht="15" customHeight="1">
      <c r="X361" s="118" t="str">
        <f>IF(W361="","",VLOOKUP(W361,snomed,3,FALSE))</f>
        <v/>
      </c>
    </row>
    <row r="362" spans="18:24" ht="15" customHeight="1">
      <c r="X362" s="118" t="str">
        <f>IF(W362="","",VLOOKUP(W362,snomed,3,FALSE))</f>
        <v/>
      </c>
    </row>
    <row r="363" spans="18:24" ht="15" customHeight="1">
      <c r="X363" s="118" t="str">
        <f>IF(W363="","",VLOOKUP(W363,snomed,3,FALSE))</f>
        <v/>
      </c>
    </row>
    <row r="364" spans="18:24" ht="15" customHeight="1">
      <c r="X364" s="118" t="str">
        <f>IF(W364="","",VLOOKUP(W364,snomed,3,FALSE))</f>
        <v/>
      </c>
    </row>
    <row r="365" spans="18:24" ht="15" customHeight="1">
      <c r="X365" s="118" t="str">
        <f>IF(W365="","",VLOOKUP(W365,snomed,3,FALSE))</f>
        <v/>
      </c>
    </row>
    <row r="369" spans="24:24" ht="15" customHeight="1">
      <c r="X369" s="118" t="str">
        <f>IF(W369="","",VLOOKUP(W369,snomed,3,FALSE))</f>
        <v/>
      </c>
    </row>
    <row r="380" spans="24:24" ht="15" customHeight="1">
      <c r="X380" s="118" t="str">
        <f>IF(W380="","",VLOOKUP(W380,snomed,3,FALSE))</f>
        <v/>
      </c>
    </row>
    <row r="381" spans="24:24" ht="15" customHeight="1">
      <c r="X381" s="118" t="str">
        <f>IF(W381="","",VLOOKUP(W381,snomed,3,FALSE))</f>
        <v/>
      </c>
    </row>
    <row r="382" spans="24:24" ht="15" customHeight="1">
      <c r="X382" s="118" t="str">
        <f>IF(W382="","",VLOOKUP(W382,snomed,3,FALSE))</f>
        <v/>
      </c>
    </row>
    <row r="394" spans="24:24" ht="15" customHeight="1">
      <c r="X394" s="118" t="str">
        <f>IF(W394="","",VLOOKUP(W394,snomed,3,FALSE))</f>
        <v/>
      </c>
    </row>
    <row r="395" spans="24:24" ht="15" customHeight="1">
      <c r="X395" s="118" t="str">
        <f>IF(W395="","",VLOOKUP(W395,snomed,3,FALSE))</f>
        <v/>
      </c>
    </row>
    <row r="397" spans="24:24" ht="15" customHeight="1">
      <c r="X397" s="118" t="str">
        <f>IF(W397="","",VLOOKUP(W397,snomed,3,FALSE))</f>
        <v/>
      </c>
    </row>
    <row r="399" spans="24:24" ht="15" customHeight="1">
      <c r="X399" s="118" t="str">
        <f>IF(W399="","",VLOOKUP(W399,snomed,3,FALSE))</f>
        <v/>
      </c>
    </row>
    <row r="410" spans="24:24" ht="15" customHeight="1">
      <c r="X410" s="118" t="str">
        <f>IF(W410="","",VLOOKUP(W410,snomed,3,FALSE))</f>
        <v/>
      </c>
    </row>
    <row r="413" spans="24:24" ht="15" customHeight="1">
      <c r="X413" s="118" t="str">
        <f>IF(W413="","",VLOOKUP(W413,snomed,3,FALSE))</f>
        <v/>
      </c>
    </row>
    <row r="415" spans="24:24" ht="15" customHeight="1">
      <c r="X415" s="118" t="str">
        <f>IF(W415="","",VLOOKUP(W415,snomed,3,FALSE))</f>
        <v/>
      </c>
    </row>
    <row r="417" spans="24:24" ht="15" customHeight="1">
      <c r="X417" s="118" t="str">
        <f>IF(W417="","",VLOOKUP(W417,snomed,3,FALSE))</f>
        <v/>
      </c>
    </row>
    <row r="419" spans="24:24" ht="15" customHeight="1">
      <c r="X419" s="118" t="str">
        <f>IF(W419="","",VLOOKUP(W419,snomed,3,FALSE))</f>
        <v/>
      </c>
    </row>
    <row r="420" spans="24:24" ht="15" customHeight="1">
      <c r="X420" s="118" t="str">
        <f>IF(W420="","",VLOOKUP(W420,snomed,3,FALSE))</f>
        <v/>
      </c>
    </row>
    <row r="422" spans="24:24" ht="15" customHeight="1">
      <c r="X422" s="118" t="str">
        <f>IF(W422="","",VLOOKUP(W422,snomed,3,FALSE))</f>
        <v/>
      </c>
    </row>
    <row r="423" spans="24:24" ht="15" customHeight="1">
      <c r="X423" s="118" t="str">
        <f>IF(W423="","",VLOOKUP(W423,snomed,3,FALSE))</f>
        <v/>
      </c>
    </row>
    <row r="424" spans="24:24" ht="15" customHeight="1">
      <c r="X424" s="118" t="str">
        <f>IF(W424="","",VLOOKUP(W424,snomed,3,FALSE))</f>
        <v/>
      </c>
    </row>
    <row r="425" spans="24:24" ht="15" customHeight="1">
      <c r="X425" s="118" t="str">
        <f>IF(W425="","",VLOOKUP(W425,snomed,3,FALSE))</f>
        <v/>
      </c>
    </row>
    <row r="426" spans="24:24" ht="15" customHeight="1">
      <c r="X426" s="118" t="str">
        <f>IF(W426="","",VLOOKUP(W426,snomed,3,FALSE))</f>
        <v/>
      </c>
    </row>
    <row r="429" spans="24:24" ht="15" customHeight="1">
      <c r="X429" s="118" t="str">
        <f>IF(W429="","",VLOOKUP(W429,snomed,3,FALSE))</f>
        <v/>
      </c>
    </row>
    <row r="431" spans="24:24" ht="15" customHeight="1">
      <c r="X431" s="118" t="str">
        <f>IF(W431="","",VLOOKUP(W431,snomed,3,FALSE))</f>
        <v/>
      </c>
    </row>
    <row r="433" spans="24:24" ht="15" customHeight="1">
      <c r="X433" s="118" t="str">
        <f>IF(W433="","",VLOOKUP(W433,snomed,3,FALSE))</f>
        <v/>
      </c>
    </row>
    <row r="435" spans="24:24" ht="15" customHeight="1">
      <c r="X435" s="118" t="str">
        <f>IF(W435="","",VLOOKUP(W435,snomed,3,FALSE))</f>
        <v/>
      </c>
    </row>
    <row r="437" spans="24:24" ht="15" customHeight="1">
      <c r="X437" s="118" t="str">
        <f>IF(W437="","",VLOOKUP(W437,snomed,3,FALSE))</f>
        <v/>
      </c>
    </row>
    <row r="438" spans="24:24" ht="15" customHeight="1">
      <c r="X438" s="118" t="str">
        <f>IF(W438="","",VLOOKUP(W438,snomed,3,FALSE))</f>
        <v/>
      </c>
    </row>
    <row r="441" spans="24:24" ht="15" customHeight="1">
      <c r="X441" s="118" t="str">
        <f>IF(W441="","",VLOOKUP(W441,snomed,3,FALSE))</f>
        <v/>
      </c>
    </row>
    <row r="443" spans="24:24" ht="15" customHeight="1">
      <c r="X443" s="118" t="str">
        <f>IF(W443="","",VLOOKUP(W443,snomed,3,FALSE))</f>
        <v/>
      </c>
    </row>
    <row r="449" spans="24:24" ht="15" customHeight="1">
      <c r="X449" s="118" t="str">
        <f>IF(W449="","",VLOOKUP(W449,snomed,3,FALSE))</f>
        <v/>
      </c>
    </row>
    <row r="451" spans="24:24" ht="15" customHeight="1">
      <c r="X451" s="118" t="str">
        <f>IF(W451="","",VLOOKUP(W451,snomed,3,FALSE))</f>
        <v/>
      </c>
    </row>
    <row r="452" spans="24:24" ht="15" customHeight="1">
      <c r="X452" s="118" t="str">
        <f>IF(W452="","",VLOOKUP(W452,snomed,3,FALSE))</f>
        <v/>
      </c>
    </row>
    <row r="453" spans="24:24" ht="15" customHeight="1">
      <c r="X453" s="118" t="str">
        <f>IF(W453="","",VLOOKUP(W453,snomed,3,FALSE))</f>
        <v/>
      </c>
    </row>
    <row r="454" spans="24:24" ht="15" customHeight="1">
      <c r="X454" s="118" t="str">
        <f>IF(W454="","",VLOOKUP(W454,snomed,3,FALSE))</f>
        <v/>
      </c>
    </row>
    <row r="455" spans="24:24" ht="15" customHeight="1">
      <c r="X455" s="118" t="str">
        <f>IF(W455="","",VLOOKUP(W455,snomed,3,FALSE))</f>
        <v/>
      </c>
    </row>
    <row r="460" spans="24:24" ht="15" customHeight="1">
      <c r="X460" s="118" t="str">
        <f>IF(W460="","",VLOOKUP(W460,snomed,3,FALSE))</f>
        <v/>
      </c>
    </row>
    <row r="461" spans="24:24" ht="15" customHeight="1">
      <c r="X461" s="118" t="str">
        <f>IF(W461="","",VLOOKUP(W461,snomed,3,FALSE))</f>
        <v/>
      </c>
    </row>
    <row r="462" spans="24:24" ht="15" customHeight="1">
      <c r="X462" s="118" t="str">
        <f>IF(W462="","",VLOOKUP(W462,snomed,3,FALSE))</f>
        <v/>
      </c>
    </row>
    <row r="463" spans="24:24" ht="15" customHeight="1">
      <c r="X463" s="118" t="str">
        <f>IF(W463="","",VLOOKUP(W463,snomed,3,FALSE))</f>
        <v/>
      </c>
    </row>
    <row r="464" spans="24:24" ht="15" customHeight="1">
      <c r="X464" s="118" t="str">
        <f>IF(W464="","",VLOOKUP(W464,snomed,3,FALSE))</f>
        <v/>
      </c>
    </row>
    <row r="465" spans="24:24" ht="15" customHeight="1">
      <c r="X465" s="118" t="str">
        <f>IF(W465="","",VLOOKUP(W465,snomed,3,FALSE))</f>
        <v/>
      </c>
    </row>
    <row r="469" spans="24:24" ht="15" customHeight="1">
      <c r="X469" s="118" t="str">
        <f>IF(W469="","",VLOOKUP(W469,snomed,3,FALSE))</f>
        <v/>
      </c>
    </row>
    <row r="480" spans="24:24" ht="15" customHeight="1">
      <c r="X480" s="118" t="str">
        <f>IF(W480="","",VLOOKUP(W480,snomed,3,FALSE))</f>
        <v/>
      </c>
    </row>
    <row r="481" spans="24:24" ht="15" customHeight="1">
      <c r="X481" s="118" t="str">
        <f>IF(W481="","",VLOOKUP(W481,snomed,3,FALSE))</f>
        <v/>
      </c>
    </row>
    <row r="482" spans="24:24" ht="15" customHeight="1">
      <c r="X482" s="118" t="str">
        <f>IF(W482="","",VLOOKUP(W482,snomed,3,FALSE))</f>
        <v/>
      </c>
    </row>
    <row r="494" spans="24:24" ht="15" customHeight="1">
      <c r="X494" s="118" t="str">
        <f>IF(W494="","",VLOOKUP(W494,snomed,3,FALSE))</f>
        <v/>
      </c>
    </row>
    <row r="495" spans="24:24" ht="15" customHeight="1">
      <c r="X495" s="118" t="str">
        <f>IF(W495="","",VLOOKUP(W495,snomed,3,FALSE))</f>
        <v/>
      </c>
    </row>
    <row r="497" spans="24:24" ht="15" customHeight="1">
      <c r="X497" s="118" t="str">
        <f>IF(W497="","",VLOOKUP(W497,snomed,3,FALSE))</f>
        <v/>
      </c>
    </row>
    <row r="499" spans="24:24" ht="15" customHeight="1">
      <c r="X499" s="118" t="str">
        <f>IF(W499="","",VLOOKUP(W499,snomed,3,FALSE))</f>
        <v/>
      </c>
    </row>
  </sheetData>
  <conditionalFormatting sqref="C7">
    <cfRule type="expression" dxfId="190" priority="145">
      <formula>C7=""</formula>
    </cfRule>
  </conditionalFormatting>
  <conditionalFormatting sqref="C9:C10">
    <cfRule type="expression" dxfId="189" priority="123">
      <formula>C9=""</formula>
    </cfRule>
  </conditionalFormatting>
  <conditionalFormatting sqref="F7">
    <cfRule type="expression" dxfId="188" priority="126">
      <formula>F6="Ja"</formula>
    </cfRule>
    <cfRule type="expression" dxfId="187" priority="127">
      <formula>F6="Nej"</formula>
    </cfRule>
  </conditionalFormatting>
  <conditionalFormatting sqref="C12:C13">
    <cfRule type="expression" dxfId="186" priority="143">
      <formula>C12=""</formula>
    </cfRule>
  </conditionalFormatting>
  <conditionalFormatting sqref="C16:C21">
    <cfRule type="expression" dxfId="185" priority="119">
      <formula>C16=""</formula>
    </cfRule>
  </conditionalFormatting>
  <conditionalFormatting sqref="C29:C36 F29:F36">
    <cfRule type="expression" dxfId="184" priority="121">
      <formula>C29=""</formula>
    </cfRule>
  </conditionalFormatting>
  <conditionalFormatting sqref="C38:C43 F38:F43">
    <cfRule type="expression" dxfId="183" priority="120">
      <formula>C38=""</formula>
    </cfRule>
  </conditionalFormatting>
  <conditionalFormatting sqref="C37:H37">
    <cfRule type="expression" dxfId="182" priority="118">
      <formula>C37=""</formula>
    </cfRule>
  </conditionalFormatting>
  <conditionalFormatting sqref="C44:C47 F44:F47">
    <cfRule type="expression" dxfId="181" priority="122">
      <formula>C44=""</formula>
    </cfRule>
  </conditionalFormatting>
  <conditionalFormatting sqref="C49:C54 F49:F54">
    <cfRule type="expression" dxfId="180" priority="117">
      <formula>C49=""</formula>
    </cfRule>
  </conditionalFormatting>
  <conditionalFormatting sqref="C56:C61 F56:F61">
    <cfRule type="expression" dxfId="179" priority="87">
      <formula>C56=""</formula>
    </cfRule>
  </conditionalFormatting>
  <conditionalFormatting sqref="C23">
    <cfRule type="expression" dxfId="178" priority="115">
      <formula>C23=""</formula>
    </cfRule>
  </conditionalFormatting>
  <conditionalFormatting sqref="C26:C28 F26:F28">
    <cfRule type="expression" dxfId="177" priority="114">
      <formula>C26=""</formula>
    </cfRule>
  </conditionalFormatting>
  <conditionalFormatting sqref="C25:H25">
    <cfRule type="expression" dxfId="176" priority="113">
      <formula>C25=""</formula>
    </cfRule>
  </conditionalFormatting>
  <conditionalFormatting sqref="D29:D36 G29:G36">
    <cfRule type="expression" dxfId="175" priority="111">
      <formula>D29=""</formula>
    </cfRule>
  </conditionalFormatting>
  <conditionalFormatting sqref="D38:D43 G38:G43">
    <cfRule type="expression" dxfId="174" priority="110">
      <formula>D38=""</formula>
    </cfRule>
  </conditionalFormatting>
  <conditionalFormatting sqref="D44:D47 G44:G47">
    <cfRule type="expression" dxfId="173" priority="112">
      <formula>D44=""</formula>
    </cfRule>
  </conditionalFormatting>
  <conditionalFormatting sqref="D26:D28 G26:G28">
    <cfRule type="expression" dxfId="172" priority="109">
      <formula>D26=""</formula>
    </cfRule>
  </conditionalFormatting>
  <conditionalFormatting sqref="E29:E36 H29:H36">
    <cfRule type="expression" dxfId="171" priority="103">
      <formula>E29=""</formula>
    </cfRule>
  </conditionalFormatting>
  <conditionalFormatting sqref="E38:E43 H38:H43">
    <cfRule type="expression" dxfId="170" priority="102">
      <formula>E38=""</formula>
    </cfRule>
  </conditionalFormatting>
  <conditionalFormatting sqref="E44:E47 H44:H47">
    <cfRule type="expression" dxfId="169" priority="104">
      <formula>E44=""</formula>
    </cfRule>
  </conditionalFormatting>
  <conditionalFormatting sqref="E26:E28 H26:H28">
    <cfRule type="expression" dxfId="168" priority="101">
      <formula>E26=""</formula>
    </cfRule>
  </conditionalFormatting>
  <conditionalFormatting sqref="D49:D54 G49:G54">
    <cfRule type="expression" dxfId="167" priority="100">
      <formula>D49=""</formula>
    </cfRule>
  </conditionalFormatting>
  <conditionalFormatting sqref="E49:E54 H49:H54">
    <cfRule type="expression" dxfId="166" priority="99">
      <formula>E49=""</formula>
    </cfRule>
  </conditionalFormatting>
  <conditionalFormatting sqref="D56:D61 G56:G61">
    <cfRule type="expression" dxfId="165" priority="98">
      <formula>D56=""</formula>
    </cfRule>
  </conditionalFormatting>
  <conditionalFormatting sqref="E56:E61 H56:H61">
    <cfRule type="expression" dxfId="164" priority="97">
      <formula>E56=""</formula>
    </cfRule>
  </conditionalFormatting>
  <conditionalFormatting sqref="C63">
    <cfRule type="expression" dxfId="163" priority="88">
      <formula>C63=""</formula>
    </cfRule>
  </conditionalFormatting>
  <conditionalFormatting sqref="C65:H67">
    <cfRule type="expression" dxfId="162" priority="29">
      <formula>C65=""</formula>
    </cfRule>
  </conditionalFormatting>
  <conditionalFormatting sqref="C69:C72">
    <cfRule type="expression" dxfId="161" priority="77">
      <formula>C69=""</formula>
    </cfRule>
  </conditionalFormatting>
  <conditionalFormatting sqref="C70:C72">
    <cfRule type="expression" dxfId="160" priority="76">
      <formula>$C$69="Nej"</formula>
    </cfRule>
  </conditionalFormatting>
  <conditionalFormatting sqref="C8">
    <cfRule type="expression" dxfId="159" priority="75">
      <formula>C8=""</formula>
    </cfRule>
  </conditionalFormatting>
  <conditionalFormatting sqref="C8">
    <cfRule type="expression" dxfId="158" priority="74">
      <formula>$C$7="Nej"</formula>
    </cfRule>
  </conditionalFormatting>
  <conditionalFormatting sqref="C74:C77">
    <cfRule type="expression" dxfId="157" priority="73">
      <formula>C74=""</formula>
    </cfRule>
  </conditionalFormatting>
  <conditionalFormatting sqref="C78:C79">
    <cfRule type="expression" dxfId="156" priority="72">
      <formula>C78=""</formula>
    </cfRule>
  </conditionalFormatting>
  <conditionalFormatting sqref="C84:C87">
    <cfRule type="expression" dxfId="155" priority="70">
      <formula>C84=""</formula>
    </cfRule>
  </conditionalFormatting>
  <conditionalFormatting sqref="C89:C92">
    <cfRule type="expression" dxfId="154" priority="71">
      <formula>C89=""</formula>
    </cfRule>
  </conditionalFormatting>
  <conditionalFormatting sqref="C97:C100">
    <cfRule type="expression" dxfId="153" priority="69">
      <formula>C97=""</formula>
    </cfRule>
  </conditionalFormatting>
  <conditionalFormatting sqref="C93:C96">
    <cfRule type="expression" dxfId="152" priority="68">
      <formula>C93=""</formula>
    </cfRule>
  </conditionalFormatting>
  <conditionalFormatting sqref="C102:C104">
    <cfRule type="expression" dxfId="151" priority="67">
      <formula>C102=""</formula>
    </cfRule>
  </conditionalFormatting>
  <conditionalFormatting sqref="C121:C135">
    <cfRule type="expression" dxfId="150" priority="66">
      <formula>C121=""</formula>
    </cfRule>
  </conditionalFormatting>
  <conditionalFormatting sqref="C140:C157">
    <cfRule type="expression" dxfId="149" priority="62">
      <formula>C140=""</formula>
    </cfRule>
  </conditionalFormatting>
  <conditionalFormatting sqref="E121:E135">
    <cfRule type="expression" dxfId="148" priority="52">
      <formula>E121=""</formula>
    </cfRule>
  </conditionalFormatting>
  <conditionalFormatting sqref="C106 C108:C109">
    <cfRule type="expression" dxfId="147" priority="60">
      <formula>C106=""</formula>
    </cfRule>
  </conditionalFormatting>
  <conditionalFormatting sqref="C111:C114">
    <cfRule type="expression" dxfId="146" priority="59">
      <formula>C111=""</formula>
    </cfRule>
  </conditionalFormatting>
  <conditionalFormatting sqref="C116:C117">
    <cfRule type="expression" dxfId="145" priority="58">
      <formula>C116=""</formula>
    </cfRule>
  </conditionalFormatting>
  <conditionalFormatting sqref="C119">
    <cfRule type="expression" dxfId="144" priority="57">
      <formula>C119=""</formula>
    </cfRule>
  </conditionalFormatting>
  <conditionalFormatting sqref="C138">
    <cfRule type="expression" dxfId="143" priority="56">
      <formula>C138=""</formula>
    </cfRule>
  </conditionalFormatting>
  <conditionalFormatting sqref="C160:C164">
    <cfRule type="expression" dxfId="142" priority="55">
      <formula>C160=""</formula>
    </cfRule>
  </conditionalFormatting>
  <conditionalFormatting sqref="C158">
    <cfRule type="expression" dxfId="141" priority="54">
      <formula>C158=""</formula>
    </cfRule>
  </conditionalFormatting>
  <conditionalFormatting sqref="C136">
    <cfRule type="expression" dxfId="140" priority="53">
      <formula>C136=""</formula>
    </cfRule>
  </conditionalFormatting>
  <conditionalFormatting sqref="C121:E136">
    <cfRule type="expression" dxfId="139" priority="51">
      <formula>OR($C$119="nej",$C$119="")</formula>
    </cfRule>
  </conditionalFormatting>
  <conditionalFormatting sqref="C140:D158">
    <cfRule type="expression" dxfId="138" priority="49">
      <formula>OR($C$138="nej",$C$138="")</formula>
    </cfRule>
  </conditionalFormatting>
  <conditionalFormatting sqref="D5">
    <cfRule type="expression" dxfId="137" priority="47">
      <formula>D5=""</formula>
    </cfRule>
  </conditionalFormatting>
  <conditionalFormatting sqref="C24:H61">
    <cfRule type="expression" dxfId="136" priority="28">
      <formula>$C$23=0</formula>
    </cfRule>
  </conditionalFormatting>
  <conditionalFormatting sqref="D64:H67">
    <cfRule type="expression" dxfId="135" priority="25">
      <formula>$C$63=1</formula>
    </cfRule>
  </conditionalFormatting>
  <conditionalFormatting sqref="E64:H67">
    <cfRule type="expression" dxfId="134" priority="24">
      <formula>$C$63=2</formula>
    </cfRule>
  </conditionalFormatting>
  <conditionalFormatting sqref="F64:H67">
    <cfRule type="expression" dxfId="133" priority="23">
      <formula>$C$63=3</formula>
    </cfRule>
  </conditionalFormatting>
  <conditionalFormatting sqref="G64:H67">
    <cfRule type="expression" dxfId="132" priority="22">
      <formula>$C$63=4</formula>
    </cfRule>
  </conditionalFormatting>
  <conditionalFormatting sqref="H64:H67">
    <cfRule type="expression" dxfId="131" priority="21">
      <formula>$C$63=5</formula>
    </cfRule>
  </conditionalFormatting>
  <conditionalFormatting sqref="C64:H67">
    <cfRule type="expression" dxfId="130" priority="18">
      <formula>$C$63=0</formula>
    </cfRule>
  </conditionalFormatting>
  <conditionalFormatting sqref="D24:H61">
    <cfRule type="expression" dxfId="129" priority="17">
      <formula>$C$23=1</formula>
    </cfRule>
  </conditionalFormatting>
  <conditionalFormatting sqref="E24:H61">
    <cfRule type="expression" dxfId="128" priority="16">
      <formula>$C$23=2</formula>
    </cfRule>
  </conditionalFormatting>
  <conditionalFormatting sqref="F24:H61">
    <cfRule type="expression" dxfId="127" priority="15">
      <formula>$C$23=3</formula>
    </cfRule>
  </conditionalFormatting>
  <conditionalFormatting sqref="G24:H61">
    <cfRule type="expression" dxfId="126" priority="14">
      <formula>$C$23=4</formula>
    </cfRule>
  </conditionalFormatting>
  <conditionalFormatting sqref="H24:H61">
    <cfRule type="expression" dxfId="125" priority="13">
      <formula>$C$23=5</formula>
    </cfRule>
  </conditionalFormatting>
  <conditionalFormatting sqref="C55:C61">
    <cfRule type="expression" dxfId="124" priority="12">
      <formula>$C$25=1</formula>
    </cfRule>
  </conditionalFormatting>
  <conditionalFormatting sqref="D55:D61">
    <cfRule type="expression" dxfId="123" priority="11">
      <formula>$D$25=1</formula>
    </cfRule>
  </conditionalFormatting>
  <conditionalFormatting sqref="E55:E61">
    <cfRule type="expression" dxfId="122" priority="10">
      <formula>$E$25=1</formula>
    </cfRule>
  </conditionalFormatting>
  <conditionalFormatting sqref="H55:H61">
    <cfRule type="expression" dxfId="121" priority="9">
      <formula>$H$25=1</formula>
    </cfRule>
  </conditionalFormatting>
  <conditionalFormatting sqref="G55:G61">
    <cfRule type="expression" dxfId="120" priority="7">
      <formula>$G$25=1</formula>
    </cfRule>
  </conditionalFormatting>
  <conditionalFormatting sqref="F55:F61">
    <cfRule type="expression" dxfId="119" priority="8">
      <formula>$F$25=1</formula>
    </cfRule>
  </conditionalFormatting>
  <conditionalFormatting sqref="C80:C81">
    <cfRule type="expression" dxfId="118" priority="5">
      <formula>C80=""</formula>
    </cfRule>
  </conditionalFormatting>
  <conditionalFormatting sqref="C82">
    <cfRule type="expression" dxfId="117" priority="4">
      <formula>C82=""</formula>
    </cfRule>
  </conditionalFormatting>
  <conditionalFormatting sqref="D8">
    <cfRule type="expression" dxfId="116" priority="3">
      <formula>$D$8="Sprogkode"</formula>
    </cfRule>
  </conditionalFormatting>
  <conditionalFormatting sqref="D9">
    <cfRule type="expression" dxfId="115" priority="1">
      <formula>$D$9="Landekode"</formula>
    </cfRule>
  </conditionalFormatting>
  <dataValidations count="6">
    <dataValidation type="list" allowBlank="1" showInputMessage="1" showErrorMessage="1" sqref="C82 C84:C87 C103 C119 C160:C161 C163 C108 C138" xr:uid="{CDC60EA1-80B5-49AF-88FD-FCA648B506EA}">
      <formula1>janej</formula1>
    </dataValidation>
    <dataValidation type="list" allowBlank="1" showInputMessage="1" showErrorMessage="1" sqref="C100" xr:uid="{80395EF1-10F7-4EBF-A2E0-AD5492A7E511}">
      <formula1>"janej"</formula1>
    </dataValidation>
    <dataValidation allowBlank="1" showInputMessage="1" showErrorMessage="1" sqref="D5" xr:uid="{107ED46B-69A5-4D4F-847A-CE65F84D0C4A}"/>
    <dataValidation type="list" allowBlank="1" showInputMessage="1" showErrorMessage="1" sqref="C5" xr:uid="{CF3A5BFF-8EE7-49FE-B17B-97B044E42709}">
      <formula1>aftaler</formula1>
    </dataValidation>
    <dataValidation type="list" allowBlank="1" showInputMessage="1" showErrorMessage="1" sqref="C9" xr:uid="{D7F78C83-213A-44F6-B7A7-82BDC099FBA4}">
      <formula1>lande</formula1>
    </dataValidation>
    <dataValidation type="list" allowBlank="1" showInputMessage="1" showErrorMessage="1" sqref="C8" xr:uid="{5163B1D8-D079-4964-BF46-F260D4D53C39}">
      <formula1>sprog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4">
        <x14:dataValidation type="list" allowBlank="1" showInputMessage="1" showErrorMessage="1" xr:uid="{B78F9683-C71B-4546-A3E1-84B63EF87404}">
          <x14:formula1>
            <xm:f>Datavalidering!$B$3:$B$4</xm:f>
          </x14:formula1>
          <xm:sqref>C7 F6 C57:H57 C50:H50 C46:H46 C69 C72</xm:sqref>
        </x14:dataValidation>
        <x14:dataValidation type="list" allowBlank="1" showInputMessage="1" showErrorMessage="1" xr:uid="{28849D90-4029-430C-BBA8-F15D36F5F241}">
          <x14:formula1>
            <xm:f>Datavalidering!$D$3:$D$4</xm:f>
          </x14:formula1>
          <xm:sqref>C16</xm:sqref>
        </x14:dataValidation>
        <x14:dataValidation type="list" allowBlank="1" showInputMessage="1" showErrorMessage="1" xr:uid="{E176070C-5FF8-40E4-BE64-57229DAD287A}">
          <x14:formula1>
            <xm:f>Datavalidering!$F$3:$F$5</xm:f>
          </x14:formula1>
          <xm:sqref>C18</xm:sqref>
        </x14:dataValidation>
        <x14:dataValidation type="list" allowBlank="1" showInputMessage="1" showErrorMessage="1" xr:uid="{8CE3263C-466E-406A-BFFB-16139FE9BBC1}">
          <x14:formula1>
            <xm:f>Datavalidering!$H$3:$H$10</xm:f>
          </x14:formula1>
          <xm:sqref>C29:H36</xm:sqref>
        </x14:dataValidation>
        <x14:dataValidation type="list" allowBlank="1" showInputMessage="1" showErrorMessage="1" xr:uid="{E0B3C16D-B1F0-4997-9991-E5FCFB3DF6EA}">
          <x14:formula1>
            <xm:f>Datavalidering!$J$3:$J$8</xm:f>
          </x14:formula1>
          <xm:sqref>C38:H43</xm:sqref>
        </x14:dataValidation>
        <x14:dataValidation type="list" allowBlank="1" showInputMessage="1" showErrorMessage="1" xr:uid="{9B6DA65A-A05C-448C-BDA2-CECAC0DB4E13}">
          <x14:formula1>
            <xm:f>Datavalidering!$M$3:$M$6</xm:f>
          </x14:formula1>
          <xm:sqref>C45:H45</xm:sqref>
        </x14:dataValidation>
        <x14:dataValidation type="list" allowBlank="1" showInputMessage="1" showErrorMessage="1" xr:uid="{8AB8D29A-EF0E-4C45-B8CE-684DF50B0A03}">
          <x14:formula1>
            <xm:f>Datavalidering!$O$3:$O$4</xm:f>
          </x14:formula1>
          <xm:sqref>C49:H49 C56:H56</xm:sqref>
        </x14:dataValidation>
        <x14:dataValidation type="list" allowBlank="1" showInputMessage="1" showErrorMessage="1" xr:uid="{3D413CF6-3C96-4594-B89C-4D58D86785C1}">
          <x14:formula1>
            <xm:f>Datavalidering!$Q$3:$Q$5</xm:f>
          </x14:formula1>
          <xm:sqref>C51:H51 C58:H58</xm:sqref>
        </x14:dataValidation>
        <x14:dataValidation type="list" allowBlank="1" showInputMessage="1" showErrorMessage="1" xr:uid="{FCFA0A74-1D2E-4C75-A54E-C108D9F510E8}">
          <x14:formula1>
            <xm:f>Datavalidering!$B$26:$B$27</xm:f>
          </x14:formula1>
          <xm:sqref>C25:H25</xm:sqref>
        </x14:dataValidation>
        <x14:dataValidation type="list" allowBlank="1" showInputMessage="1" showErrorMessage="1" xr:uid="{8A19F269-AEE5-4EBA-9090-22D0B36F8FF7}">
          <x14:formula1>
            <xm:f>Datavalidering!$S$3:$S$5</xm:f>
          </x14:formula1>
          <xm:sqref>C65:H65</xm:sqref>
        </x14:dataValidation>
        <x14:dataValidation type="list" allowBlank="1" showInputMessage="1" showErrorMessage="1" xr:uid="{2AABEF45-3AD9-4D60-A765-C7D7771AD9A2}">
          <x14:formula1>
            <xm:f>Datavalidering!$U$3:$U$6</xm:f>
          </x14:formula1>
          <xm:sqref>C70</xm:sqref>
        </x14:dataValidation>
        <x14:dataValidation type="list" allowBlank="1" showInputMessage="1" showErrorMessage="1" xr:uid="{1887D5CA-CA8C-4B09-9ED7-E86B103D9BE9}">
          <x14:formula1>
            <xm:f>Datavalidering!$X$3:$X$6</xm:f>
          </x14:formula1>
          <xm:sqref>C74 C76</xm:sqref>
        </x14:dataValidation>
        <x14:dataValidation type="list" allowBlank="1" showInputMessage="1" showErrorMessage="1" xr:uid="{45C89F46-679B-413E-953E-B9C35B92F7F6}">
          <x14:formula1>
            <xm:f>Datavalidering!$AD$3:$AD$4</xm:f>
          </x14:formula1>
          <xm:sqref>C78</xm:sqref>
        </x14:dataValidation>
        <x14:dataValidation type="list" allowBlank="1" showInputMessage="1" showErrorMessage="1" xr:uid="{5B80CAD6-EC75-43A7-8BCD-58FD1975A762}">
          <x14:formula1>
            <xm:f>Datavalidering!$AF$3:$AF$5</xm:f>
          </x14:formula1>
          <xm:sqref>C79</xm:sqref>
        </x14:dataValidation>
        <x14:dataValidation type="list" allowBlank="1" showInputMessage="1" showErrorMessage="1" xr:uid="{15EA7468-D61C-4E52-90E0-D7F7E82118B1}">
          <x14:formula1>
            <xm:f>Datavalidering!$AH$3:$AH$4</xm:f>
          </x14:formula1>
          <xm:sqref>C80:C81</xm:sqref>
        </x14:dataValidation>
        <x14:dataValidation type="list" allowBlank="1" showInputMessage="1" showErrorMessage="1" xr:uid="{C3DB3DE9-798B-4B28-A437-54F052503D18}">
          <x14:formula1>
            <xm:f>Datavalidering!$AJ$3:$AJ$6</xm:f>
          </x14:formula1>
          <xm:sqref>C91</xm:sqref>
        </x14:dataValidation>
        <x14:dataValidation type="list" allowBlank="1" showInputMessage="1" showErrorMessage="1" xr:uid="{A228AB31-B7E9-4D17-A99F-08BE20E8BCAF}">
          <x14:formula1>
            <xm:f>Datavalidering!$AL$3:$AL$6</xm:f>
          </x14:formula1>
          <xm:sqref>C93:C96</xm:sqref>
        </x14:dataValidation>
        <x14:dataValidation type="list" allowBlank="1" showInputMessage="1" showErrorMessage="1" xr:uid="{DDC22068-B3F7-41FA-BE45-43FCD9FDEFE4}">
          <x14:formula1>
            <xm:f>Datavalidering!$AN$3:$AN$5</xm:f>
          </x14:formula1>
          <xm:sqref>C102</xm:sqref>
        </x14:dataValidation>
        <x14:dataValidation type="list" allowBlank="1" showInputMessage="1" showErrorMessage="1" xr:uid="{1069EA8B-3FF5-43A7-94C6-A3E0ABEE6F24}">
          <x14:formula1>
            <xm:f>Datavalidering!$AP$3:$AP$4</xm:f>
          </x14:formula1>
          <xm:sqref>C106</xm:sqref>
        </x14:dataValidation>
        <x14:dataValidation type="list" allowBlank="1" showInputMessage="1" showErrorMessage="1" xr:uid="{8FF35A42-9DF3-46DE-9293-83D4EE22B045}">
          <x14:formula1>
            <xm:f>Datavalidering!$AR$3:$AR$4</xm:f>
          </x14:formula1>
          <xm:sqref>C111:C114</xm:sqref>
        </x14:dataValidation>
        <x14:dataValidation type="list" allowBlank="1" showInputMessage="1" showErrorMessage="1" xr:uid="{A5A3B1E0-9104-44B2-8CD0-0E74B8375AC3}">
          <x14:formula1>
            <xm:f>Datavalidering!$AT$3:$AT$16</xm:f>
          </x14:formula1>
          <xm:sqref>C121:C135</xm:sqref>
        </x14:dataValidation>
        <x14:dataValidation type="list" allowBlank="1" showInputMessage="1" showErrorMessage="1" xr:uid="{E9F388D9-9023-4C7E-A45F-BD24B44E9867}">
          <x14:formula1>
            <xm:f>Datavalidering!$AV$3:$AV$36</xm:f>
          </x14:formula1>
          <xm:sqref>C140:C157</xm:sqref>
        </x14:dataValidation>
        <x14:dataValidation type="list" allowBlank="1" showInputMessage="1" showErrorMessage="1" xr:uid="{C397F1C3-ADBC-4B1B-8756-47D9AFE3E0A7}">
          <x14:formula1>
            <xm:f>Datavalidering!$B$25:$B$34</xm:f>
          </x14:formula1>
          <xm:sqref>C23</xm:sqref>
        </x14:dataValidation>
        <x14:dataValidation type="list" allowBlank="1" showInputMessage="1" showErrorMessage="1" xr:uid="{BCBE3A4C-517D-4D88-8CF4-19A7E7F707D8}">
          <x14:formula1>
            <xm:f>Datavalidering!$B$25:$B$31</xm:f>
          </x14:formula1>
          <xm:sqref>C63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DEEAAD-1843-4344-A962-F858E1FEDC93}">
  <sheetPr>
    <tabColor theme="8"/>
  </sheetPr>
  <dimension ref="A1:S503"/>
  <sheetViews>
    <sheetView workbookViewId="0">
      <pane xSplit="3" topLeftCell="D1" activePane="topRight" state="frozen"/>
      <selection pane="topRight" activeCell="E16" sqref="E16"/>
    </sheetView>
  </sheetViews>
  <sheetFormatPr defaultRowHeight="15"/>
  <cols>
    <col min="1" max="1" width="64.28515625" customWidth="1"/>
    <col min="2" max="2" width="24.5703125" style="30" customWidth="1"/>
    <col min="3" max="3" width="23.7109375" customWidth="1"/>
    <col min="4" max="4" width="23.5703125" customWidth="1"/>
    <col min="5" max="5" width="15.140625" customWidth="1"/>
    <col min="8" max="8" width="12.7109375" customWidth="1"/>
    <col min="9" max="9" width="25.5703125" customWidth="1"/>
    <col min="10" max="10" width="34.5703125" customWidth="1"/>
    <col min="11" max="11" width="11.140625" bestFit="1" customWidth="1"/>
    <col min="16" max="16" width="41.42578125" customWidth="1"/>
    <col min="17" max="17" width="34.5703125" customWidth="1"/>
    <col min="18" max="18" width="19.85546875" customWidth="1"/>
    <col min="19" max="19" width="29.85546875" customWidth="1"/>
  </cols>
  <sheetData>
    <row r="1" spans="1:19" ht="24">
      <c r="A1" s="7" t="s">
        <v>175</v>
      </c>
      <c r="B1" s="29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I1" s="165" t="s">
        <v>176</v>
      </c>
      <c r="J1" s="165"/>
      <c r="P1" s="1" t="s">
        <v>21</v>
      </c>
      <c r="Q1" s="1" t="s">
        <v>22</v>
      </c>
      <c r="R1" s="1" t="s">
        <v>23</v>
      </c>
      <c r="S1" s="1" t="s">
        <v>24</v>
      </c>
    </row>
    <row r="2" spans="1:19">
      <c r="B2" s="30" t="s">
        <v>177</v>
      </c>
      <c r="C2" t="s">
        <v>178</v>
      </c>
      <c r="D2" t="s">
        <v>179</v>
      </c>
      <c r="E2" t="s">
        <v>180</v>
      </c>
      <c r="F2">
        <f>IF(_xlfn.NUMBERVALUE(RIGHT(LEFT(B2,6),2))&gt;30,2025-(RIGHT(LEFT(B2,6),2)+1900),2025-(RIGHT(LEFT(B2,6),2)+2000))</f>
        <v>27</v>
      </c>
      <c r="I2" s="163" t="s">
        <v>181</v>
      </c>
      <c r="J2" s="163"/>
    </row>
    <row r="3" spans="1:19" ht="19.5" customHeight="1">
      <c r="A3" s="17" t="s">
        <v>182</v>
      </c>
      <c r="B3" s="17" t="s">
        <v>183</v>
      </c>
      <c r="C3" s="17">
        <f ca="1">COUNTIF(Datavalidering!K23:K28,"&lt;&gt;0")</f>
        <v>1</v>
      </c>
      <c r="D3" s="17"/>
      <c r="E3" s="17"/>
      <c r="H3" s="73" t="s">
        <v>28</v>
      </c>
      <c r="I3" s="1" t="s">
        <v>27</v>
      </c>
      <c r="J3" s="1" t="s">
        <v>184</v>
      </c>
      <c r="L3" s="5"/>
    </row>
    <row r="4" spans="1:19" ht="19.5" customHeight="1">
      <c r="A4" s="1" t="s">
        <v>185</v>
      </c>
      <c r="B4" s="31"/>
      <c r="C4" s="1" t="s">
        <v>27</v>
      </c>
      <c r="D4" s="33" t="s">
        <v>186</v>
      </c>
      <c r="E4" s="1" t="s">
        <v>29</v>
      </c>
      <c r="H4" s="74">
        <f>IF(D5="","Dato",D5)</f>
        <v>45729</v>
      </c>
      <c r="I4" t="str">
        <f>IF(C5="","Resume",C5)</f>
        <v>Første besøg hos egen læge</v>
      </c>
      <c r="J4" s="164" t="str">
        <f>IF(C102="","",C102)</f>
        <v/>
      </c>
      <c r="L4" s="5"/>
      <c r="R4" s="116"/>
    </row>
    <row r="5" spans="1:19">
      <c r="A5" s="1" t="s">
        <v>28</v>
      </c>
      <c r="B5" s="24" t="str">
        <f ca="1">IF(C5="","",VLOOKUP(C5,AftalerDatoer!$C$3:$G$26,4,FALSE))</f>
        <v>UL</v>
      </c>
      <c r="C5" s="20" t="s">
        <v>30</v>
      </c>
      <c r="D5" s="19">
        <f>IF(C5="","",VLOOKUP(C5,AftalerDatoer!$C$3:$E$26,2,FALSE))</f>
        <v>45729</v>
      </c>
      <c r="E5" t="str" cm="1">
        <f t="array" aca="1" ref="E5" ca="1">_xlfn.IFS(C5="","",VLOOKUP(C5,AftalerDatoer!$C$3:$H$26,4,FALSE)="SM",VLOOKUP(C5,AftalerDatoer!$C$3:$H$26,3,FALSE),VLOOKUP(C5,AftalerDatoer!$C$3:$H$26,4,FALSE)="UL",VLOOKUP(C5,AftalerDatoer!$C$3:$H$26,5,FALSE))</f>
        <v>8+1</v>
      </c>
      <c r="H5" s="74"/>
      <c r="I5" t="s">
        <v>187</v>
      </c>
      <c r="J5" s="164"/>
      <c r="L5" s="5"/>
      <c r="P5" s="93" t="s">
        <v>31</v>
      </c>
      <c r="Q5" s="93" t="s">
        <v>31</v>
      </c>
      <c r="R5" s="93" t="s">
        <v>31</v>
      </c>
      <c r="S5" s="93" t="s">
        <v>31</v>
      </c>
    </row>
    <row r="6" spans="1:19">
      <c r="A6" s="1" t="s">
        <v>188</v>
      </c>
      <c r="H6" s="74" t="str">
        <f>IF(D105="","Dato",D105)</f>
        <v>Dato</v>
      </c>
      <c r="I6" t="str">
        <f>IF(C105="","Resume",C105)</f>
        <v>Resume</v>
      </c>
      <c r="J6" s="164" t="str">
        <f>IF(C202="","",C202)</f>
        <v/>
      </c>
      <c r="L6" s="5"/>
      <c r="P6" t="str">
        <f>VLOOKUP(A6,snomed2,2,FALSE)</f>
        <v>beregnet terminsdato</v>
      </c>
      <c r="Q6" t="str">
        <f>VLOOKUP(A6,snomed2,3,FALSE)</f>
        <v>161714006</v>
      </c>
      <c r="R6" s="117"/>
    </row>
    <row r="7" spans="1:19" ht="14.25" customHeight="1">
      <c r="A7" t="s">
        <v>189</v>
      </c>
      <c r="B7" s="70" t="s">
        <v>28</v>
      </c>
      <c r="C7" s="19">
        <v>45672</v>
      </c>
      <c r="H7" s="74"/>
      <c r="I7" t="s">
        <v>187</v>
      </c>
      <c r="J7" s="164"/>
      <c r="L7" s="5"/>
      <c r="P7" t="str">
        <f>VLOOKUP(A7,snomed2,2,FALSE)</f>
        <v>seneste menstruationsperiodes 1. dag</v>
      </c>
      <c r="Q7" t="str">
        <f>VLOOKUP(A7,snomed2,3,FALSE)</f>
        <v>161713000</v>
      </c>
      <c r="R7" s="117"/>
    </row>
    <row r="8" spans="1:19" ht="14.25" customHeight="1">
      <c r="A8" t="s">
        <v>190</v>
      </c>
      <c r="B8" s="30" t="s">
        <v>191</v>
      </c>
      <c r="H8" s="74" t="str">
        <f>IF(D205="","Dato",D205)</f>
        <v>Dato</v>
      </c>
      <c r="I8" t="str">
        <f>IF(C205="","Resume",C205)</f>
        <v>Resume</v>
      </c>
      <c r="J8" s="164" t="str">
        <f>IF(C302="","",C302)</f>
        <v/>
      </c>
      <c r="L8" s="5"/>
      <c r="P8" t="str">
        <f>VLOOKUP(A8,snomed2,2,FALSE)</f>
        <v>varighed af menstruationscyklus</v>
      </c>
      <c r="Q8" t="str">
        <f>VLOOKUP(A8,snomed2,3,FALSE)</f>
        <v>364310004</v>
      </c>
      <c r="R8" s="117" t="str">
        <f>IF(C8="","",VLOOKUP(C8,vand_snom,3,FALSE))</f>
        <v/>
      </c>
      <c r="S8" t="str">
        <f>IF(E8="","",VLOOKUP(E8,vand_snom,3,FALSE))</f>
        <v/>
      </c>
    </row>
    <row r="9" spans="1:19" ht="14.25" customHeight="1">
      <c r="A9" t="s">
        <v>192</v>
      </c>
      <c r="B9" s="70" t="s">
        <v>193</v>
      </c>
      <c r="C9" s="19">
        <f>IF(C8="",IF(C7="","",C7+40*7),IF(C7="","",C7+40*7+(C8-28)))</f>
        <v>45952</v>
      </c>
      <c r="E9" s="19"/>
      <c r="H9" s="74"/>
      <c r="I9" t="s">
        <v>187</v>
      </c>
      <c r="J9" s="164"/>
      <c r="L9" s="5"/>
      <c r="P9" t="str">
        <f>VLOOKUP(A9,snomed2,2,FALSE)</f>
        <v>beregnet terminsdato fra seneste menstruation</v>
      </c>
      <c r="Q9" t="str">
        <f>VLOOKUP(A9,snomed2,3,FALSE)</f>
        <v>289206005</v>
      </c>
      <c r="R9" s="117"/>
      <c r="S9" t="str">
        <f>IF(E9="","",VLOOKUP(E9,vand_snom,4,FALSE))</f>
        <v/>
      </c>
    </row>
    <row r="10" spans="1:19" ht="14.25" customHeight="1">
      <c r="A10" t="s">
        <v>194</v>
      </c>
      <c r="B10" s="30" t="s">
        <v>34</v>
      </c>
      <c r="H10" s="74" t="str">
        <f>IF(D305="","Dato",D305)</f>
        <v>Dato</v>
      </c>
      <c r="I10" t="str">
        <f>IF(C305="","Resume",C305)</f>
        <v>Resume</v>
      </c>
      <c r="J10" s="164" t="str">
        <f>IF(C402="","",C402)</f>
        <v/>
      </c>
      <c r="L10" s="5"/>
      <c r="P10" t="str">
        <f>VLOOKUP(A10,snomed2,2,FALSE)</f>
        <v>graviditet med sikker termin</v>
      </c>
      <c r="Q10" t="str">
        <f>VLOOKUP(A10,snomed2,3,FALSE)</f>
        <v>567941000005109</v>
      </c>
      <c r="R10" s="118" t="str">
        <f>IF(C10="","",VLOOKUP(C10,vand_snom,3,FALSE))</f>
        <v/>
      </c>
      <c r="S10" s="118" t="str">
        <f>IF(R10="","",VLOOKUP(R10,snomed,3,FALSE))</f>
        <v/>
      </c>
    </row>
    <row r="11" spans="1:19" ht="14.25" customHeight="1">
      <c r="A11" t="s">
        <v>115</v>
      </c>
      <c r="B11" s="30" t="s">
        <v>76</v>
      </c>
      <c r="C11" s="19"/>
      <c r="H11" s="75"/>
      <c r="I11" t="s">
        <v>187</v>
      </c>
      <c r="J11" s="164"/>
      <c r="L11" s="5"/>
      <c r="P11" t="str">
        <f>VLOOKUP(A11,snomed2,2,FALSE)</f>
        <v>relevant information</v>
      </c>
      <c r="Q11" t="str">
        <f>VLOOKUP(A11,snomed2,3,FALSE)</f>
        <v>398005008</v>
      </c>
      <c r="R11" s="117"/>
    </row>
    <row r="12" spans="1:19">
      <c r="A12" s="1" t="s">
        <v>195</v>
      </c>
      <c r="H12" s="75" t="str">
        <f>IF(D405="","Dato",D405)</f>
        <v>Dato</v>
      </c>
      <c r="I12" t="str">
        <f>IF(C405="","Resume",C405)</f>
        <v>Resume</v>
      </c>
      <c r="J12" s="163" t="str">
        <f>IF(C502="","",C502)</f>
        <v/>
      </c>
      <c r="L12" s="5"/>
      <c r="R12" s="117"/>
    </row>
    <row r="13" spans="1:19" ht="14.25" customHeight="1">
      <c r="A13" t="s">
        <v>196</v>
      </c>
      <c r="B13" s="30" t="s">
        <v>49</v>
      </c>
      <c r="C13" s="2"/>
      <c r="H13" s="75"/>
      <c r="I13" t="s">
        <v>187</v>
      </c>
      <c r="J13" s="163"/>
      <c r="L13" s="5"/>
      <c r="P13" t="str">
        <f>VLOOKUP(A13,snomed2,2,FALSE)</f>
        <v>gennemført uddannelse</v>
      </c>
      <c r="Q13" t="str">
        <f>VLOOKUP(A13,snomed2,3,FALSE)</f>
        <v>105421008</v>
      </c>
      <c r="R13" s="118" t="str">
        <f>IF(C13="","",VLOOKUP(C13,vand_snom,3,FALSE))</f>
        <v/>
      </c>
      <c r="S13" s="118" t="str">
        <f>IF(R13="","",VLOOKUP(R13,snomed,3,FALSE))</f>
        <v/>
      </c>
    </row>
    <row r="14" spans="1:19" ht="14.25" customHeight="1">
      <c r="A14" t="s">
        <v>197</v>
      </c>
      <c r="B14" s="30" t="s">
        <v>40</v>
      </c>
      <c r="H14" s="75" t="str">
        <f>IF(D505="","Dato",D505)</f>
        <v>Dato</v>
      </c>
      <c r="I14" t="str">
        <f>IF(D505="","Resume",D505)</f>
        <v>Resume</v>
      </c>
      <c r="J14" s="163" t="str">
        <f>IF(C602="","",C602)</f>
        <v/>
      </c>
      <c r="L14" s="5"/>
      <c r="P14" t="str">
        <f>VLOOKUP(A14,snomed2,2,FALSE)</f>
        <v>relevant information</v>
      </c>
      <c r="Q14" t="str">
        <f>VLOOKUP(A14,snomed2,3,FALSE)</f>
        <v>398005008</v>
      </c>
      <c r="R14" s="117"/>
    </row>
    <row r="15" spans="1:19" ht="14.25" customHeight="1">
      <c r="A15" t="s">
        <v>198</v>
      </c>
      <c r="B15" s="30" t="s">
        <v>49</v>
      </c>
      <c r="C15" s="2"/>
      <c r="H15" s="75"/>
      <c r="I15" t="s">
        <v>187</v>
      </c>
      <c r="J15" s="163"/>
      <c r="L15" s="5"/>
      <c r="P15" t="str">
        <f>VLOOKUP(A15,snomed2,2,FALSE)</f>
        <v>oplysning om beskæftigelse</v>
      </c>
      <c r="Q15" t="str">
        <f>VLOOKUP(A15,snomed2,3,FALSE)</f>
        <v>364703007</v>
      </c>
      <c r="R15" s="118" t="str">
        <f>IF(C15="","",VLOOKUP(C15,vand_snom,3,FALSE))</f>
        <v/>
      </c>
      <c r="S15" s="118" t="str">
        <f>IF(R15="","",VLOOKUP(R15,snomed,3,FALSE))</f>
        <v/>
      </c>
    </row>
    <row r="16" spans="1:19" ht="14.25" customHeight="1">
      <c r="A16" t="s">
        <v>199</v>
      </c>
      <c r="B16" s="30" t="s">
        <v>40</v>
      </c>
      <c r="H16" s="5"/>
      <c r="L16" s="5"/>
      <c r="P16" t="str">
        <f>VLOOKUP(A16,snomed2,2,FALSE)</f>
        <v>relevant information</v>
      </c>
      <c r="Q16" t="str">
        <f>VLOOKUP(A16,snomed2,3,FALSE)</f>
        <v>398005008</v>
      </c>
      <c r="R16" s="117"/>
    </row>
    <row r="17" spans="1:19" ht="14.25" customHeight="1">
      <c r="A17" t="s">
        <v>200</v>
      </c>
      <c r="B17" s="30" t="s">
        <v>49</v>
      </c>
      <c r="C17" s="2"/>
      <c r="H17" s="5"/>
      <c r="L17" s="5"/>
      <c r="P17" t="str">
        <f>VLOOKUP(A17,snomed2,2,FALSE)</f>
        <v>status for modtagelse af ydelse</v>
      </c>
      <c r="Q17" t="str">
        <f>VLOOKUP(A17,snomed2,3,FALSE)</f>
        <v>228163007</v>
      </c>
      <c r="R17" s="118" t="str">
        <f>IF(C17="","",VLOOKUP(C17,vand_snom,3,FALSE))</f>
        <v/>
      </c>
      <c r="S17" s="118" t="str">
        <f>IF(R17="","",VLOOKUP(R17,snomed,3,FALSE))</f>
        <v/>
      </c>
    </row>
    <row r="18" spans="1:19">
      <c r="A18" s="1" t="s">
        <v>201</v>
      </c>
      <c r="H18" s="5"/>
      <c r="I18" s="1" t="s">
        <v>202</v>
      </c>
      <c r="L18" s="5"/>
      <c r="R18" s="117"/>
    </row>
    <row r="19" spans="1:19" ht="14.25" customHeight="1">
      <c r="A19" t="s">
        <v>203</v>
      </c>
      <c r="B19" s="70" t="s">
        <v>34</v>
      </c>
      <c r="H19" s="75" t="str">
        <f ca="1">IF(I19="","",VLOOKUP(I19,AftalerDatoer!$C$3:$E$26,2,FALSE))</f>
        <v/>
      </c>
      <c r="I19" t="str" cm="1">
        <f t="array" aca="1" ref="I19" ca="1">IF(INDIRECT(N19)="","",INDIRECT(O19))</f>
        <v/>
      </c>
      <c r="J19" t="str" cm="1">
        <f t="array" aca="1" ref="J19" ca="1">IF(INDIRECT(N19)="","",INDIRECT(N19))</f>
        <v/>
      </c>
      <c r="K19" s="76" t="str">
        <f ca="1">IF(COUNTIF($I$4:$I$11,I19)&gt;0,"Der kan ikke være mere end ét resume pr aftale!","")</f>
        <v/>
      </c>
      <c r="N19" s="72" t="s">
        <v>204</v>
      </c>
      <c r="O19" s="72" t="s">
        <v>205</v>
      </c>
      <c r="P19" t="str">
        <f>VLOOKUP(A19,snomed2,2,FALSE)</f>
        <v>røg før bekræftet graviditet</v>
      </c>
      <c r="Q19" t="str">
        <f>VLOOKUP(A19,snomed2,3,FALSE)</f>
        <v>449345000</v>
      </c>
      <c r="R19" s="118" t="str">
        <f>IF(C19="","",VLOOKUP(C19,vand_snom,3,FALSE))</f>
        <v/>
      </c>
      <c r="S19" s="118" t="str">
        <f>IF(R19="","",VLOOKUP(R19,snomed,3,FALSE))</f>
        <v/>
      </c>
    </row>
    <row r="20" spans="1:19" ht="14.25" customHeight="1">
      <c r="A20" t="s">
        <v>206</v>
      </c>
      <c r="B20" s="30" t="s">
        <v>49</v>
      </c>
      <c r="C20" s="2"/>
      <c r="H20" s="75" t="str">
        <f ca="1">IF(I20="","",VLOOKUP(I20,AftalerDatoer!$C$3:$E$26,2,FALSE))</f>
        <v/>
      </c>
      <c r="I20" t="str" cm="1">
        <f t="array" aca="1" ref="I20" ca="1">IF(INDIRECT(N20)="","",INDIRECT(O20))</f>
        <v/>
      </c>
      <c r="J20" t="str" cm="1">
        <f t="array" aca="1" ref="J20" ca="1">IF(INDIRECT(N20)="","",INDIRECT(N20))</f>
        <v/>
      </c>
      <c r="K20" s="76" t="str">
        <f t="shared" ref="K20:K33" ca="1" si="0">IF(COUNTIF($I$4:$I$11,I20)&gt;0,"Der kan ikke være mere end ét resume pr aftale!","")</f>
        <v/>
      </c>
      <c r="N20" s="72" t="s">
        <v>207</v>
      </c>
      <c r="O20" s="72" t="s">
        <v>208</v>
      </c>
      <c r="P20" t="str">
        <f>VLOOKUP(A20,snomed2,2,FALSE)</f>
        <v>moders forbrug af røgtobak under graviditet</v>
      </c>
      <c r="Q20" t="str">
        <f>VLOOKUP(A20,snomed2,3,FALSE)</f>
        <v>598171000005102</v>
      </c>
      <c r="R20" s="118" t="str">
        <f>IF(C20="","",VLOOKUP(C20,vand_snom,3,FALSE))</f>
        <v/>
      </c>
      <c r="S20" s="118" t="str">
        <f>IF(R20="","",VLOOKUP(R20,snomed,3,FALSE))</f>
        <v/>
      </c>
    </row>
    <row r="21" spans="1:19" ht="14.25" customHeight="1">
      <c r="A21" t="s">
        <v>209</v>
      </c>
      <c r="B21" s="30" t="s">
        <v>28</v>
      </c>
      <c r="H21" s="75" t="str">
        <f ca="1">IF(I21="","",VLOOKUP(I21,AftalerDatoer!$C$3:$E$26,2,FALSE))</f>
        <v/>
      </c>
      <c r="I21" t="str" cm="1">
        <f t="array" aca="1" ref="I21" ca="1">IF(INDIRECT(N21)="","",INDIRECT(O21))</f>
        <v/>
      </c>
      <c r="J21" t="str" cm="1">
        <f t="array" aca="1" ref="J21" ca="1">IF(INDIRECT(N21)="","",INDIRECT(N21))</f>
        <v/>
      </c>
      <c r="K21" s="76" t="str">
        <f t="shared" ca="1" si="0"/>
        <v/>
      </c>
      <c r="N21" s="72" t="s">
        <v>210</v>
      </c>
      <c r="O21" s="72" t="s">
        <v>211</v>
      </c>
      <c r="P21" t="str">
        <f>VLOOKUP(A21,snomed2,2,FALSE)</f>
        <v>dato for rygeophør</v>
      </c>
      <c r="Q21" t="str">
        <f>VLOOKUP(A21,snomed2,3,FALSE)</f>
        <v>160625004</v>
      </c>
      <c r="R21" s="117"/>
    </row>
    <row r="22" spans="1:19" ht="14.25" customHeight="1">
      <c r="A22" t="s">
        <v>212</v>
      </c>
      <c r="B22" s="30" t="s">
        <v>34</v>
      </c>
      <c r="H22" s="75" t="str">
        <f ca="1">IF(I22="","",VLOOKUP(I22,AftalerDatoer!$C$3:$E$26,2,FALSE))</f>
        <v/>
      </c>
      <c r="I22" t="str" cm="1">
        <f t="array" aca="1" ref="I22" ca="1">IF(INDIRECT(N22)="","",INDIRECT(O22))</f>
        <v/>
      </c>
      <c r="J22" t="str" cm="1">
        <f t="array" aca="1" ref="J22" ca="1">IF(INDIRECT(N22)="","",INDIRECT(N22))</f>
        <v/>
      </c>
      <c r="K22" s="76" t="str">
        <f t="shared" ca="1" si="0"/>
        <v/>
      </c>
      <c r="N22" s="72" t="s">
        <v>213</v>
      </c>
      <c r="O22" s="72" t="s">
        <v>214</v>
      </c>
      <c r="P22" t="str">
        <f>VLOOKUP(A22,snomed2,2,FALSE)</f>
        <v>udsat for tobaksrøg i hjemmet</v>
      </c>
      <c r="Q22" t="str">
        <f>VLOOKUP(A22,snomed2,3,FALSE)</f>
        <v>228524006</v>
      </c>
      <c r="R22" s="118" t="str">
        <f>IF(C22="","",VLOOKUP(C22,vand_snom,3,FALSE))</f>
        <v/>
      </c>
      <c r="S22" s="118" t="str">
        <f>IF(R22="","",VLOOKUP(R22,snomed,3,FALSE))</f>
        <v/>
      </c>
    </row>
    <row r="23" spans="1:19" ht="14.25" customHeight="1">
      <c r="A23" t="s">
        <v>215</v>
      </c>
      <c r="B23" s="30" t="s">
        <v>34</v>
      </c>
      <c r="H23" s="75" t="str">
        <f ca="1">IF(I23="","",VLOOKUP(I23,AftalerDatoer!$C$3:$E$26,2,FALSE))</f>
        <v/>
      </c>
      <c r="I23" t="str" cm="1">
        <f t="array" aca="1" ref="I23" ca="1">IF(INDIRECT(N23)="","",INDIRECT(O23))</f>
        <v/>
      </c>
      <c r="J23" t="str" cm="1">
        <f t="array" aca="1" ref="J23" ca="1">IF(INDIRECT(N23)="","",INDIRECT(N23))</f>
        <v/>
      </c>
      <c r="K23" s="76" t="str">
        <f t="shared" ca="1" si="0"/>
        <v/>
      </c>
      <c r="N23" s="72" t="s">
        <v>216</v>
      </c>
      <c r="O23" s="72" t="s">
        <v>217</v>
      </c>
      <c r="P23" t="str">
        <f>VLOOKUP(A23,snomed2,2,FALSE)</f>
        <v>udsat for tobaksrøg på jobbet</v>
      </c>
      <c r="Q23" t="str">
        <f>VLOOKUP(A23,snomed2,3,FALSE)</f>
        <v>228523000</v>
      </c>
      <c r="R23" s="118" t="str">
        <f>IF(C23="","",VLOOKUP(C23,vand_snom,3,FALSE))</f>
        <v/>
      </c>
      <c r="S23" s="118" t="str">
        <f>IF(R23="","",VLOOKUP(R23,snomed,3,FALSE))</f>
        <v/>
      </c>
    </row>
    <row r="24" spans="1:19" ht="14.25" customHeight="1">
      <c r="A24" t="s">
        <v>218</v>
      </c>
      <c r="B24" s="30" t="s">
        <v>49</v>
      </c>
      <c r="H24" s="75" t="str">
        <f ca="1">IF(I24="","",VLOOKUP(I24,AftalerDatoer!$C$3:$E$26,2,FALSE))</f>
        <v/>
      </c>
      <c r="I24" t="str" cm="1">
        <f t="array" aca="1" ref="I24" ca="1">IF(INDIRECT(N24)="","",INDIRECT(O24))</f>
        <v/>
      </c>
      <c r="J24" t="str" cm="1">
        <f t="array" aca="1" ref="J24" ca="1">IF(INDIRECT(N24)="","",INDIRECT(N24))</f>
        <v/>
      </c>
      <c r="K24" s="76" t="str">
        <f t="shared" ca="1" si="0"/>
        <v/>
      </c>
      <c r="N24" s="72" t="s">
        <v>219</v>
      </c>
      <c r="O24" s="72" t="s">
        <v>220</v>
      </c>
      <c r="P24" t="str">
        <f>VLOOKUP(A24,snomed2,2,FALSE)</f>
        <v>henvisning til rygestopklinik</v>
      </c>
      <c r="Q24" t="str">
        <f>VLOOKUP(A24,snomed2,3,FALSE)</f>
        <v>315232003</v>
      </c>
      <c r="R24" s="118" t="str">
        <f>IF(C24="","",VLOOKUP(C24,m_htton,3,FALSE))</f>
        <v/>
      </c>
      <c r="S24" s="118" t="str">
        <f>IF(R24="","",VLOOKUP(R24,snomed,3,FALSE))</f>
        <v/>
      </c>
    </row>
    <row r="25" spans="1:19" ht="14.25" customHeight="1">
      <c r="A25" t="s">
        <v>221</v>
      </c>
      <c r="B25" s="70" t="s">
        <v>34</v>
      </c>
      <c r="H25" s="75" t="str">
        <f ca="1">IF(I25="","",VLOOKUP(I25,AftalerDatoer!$C$3:$E$26,2,FALSE))</f>
        <v/>
      </c>
      <c r="I25" t="str" cm="1">
        <f t="array" aca="1" ref="I25" ca="1">IF(INDIRECT(N25)="","",INDIRECT(O25))</f>
        <v/>
      </c>
      <c r="J25" t="str" cm="1">
        <f t="array" aca="1" ref="J25" ca="1">IF(INDIRECT(N25)="","",INDIRECT(N25))</f>
        <v/>
      </c>
      <c r="K25" s="76" t="str">
        <f t="shared" ca="1" si="0"/>
        <v/>
      </c>
      <c r="N25" s="72" t="s">
        <v>222</v>
      </c>
      <c r="O25" s="72" t="s">
        <v>223</v>
      </c>
      <c r="P25" t="str">
        <f>VLOOKUP(A25,snomed2,2,FALSE)</f>
        <v>bruger af nicotin før bekræftet graviditet</v>
      </c>
      <c r="Q25" t="str">
        <f>VLOOKUP(A25,snomed2,3,FALSE)</f>
        <v>598091000005102</v>
      </c>
      <c r="R25" s="118" t="str">
        <f>IF(C25="","",VLOOKUP(C25,vand_snom,3,FALSE))</f>
        <v/>
      </c>
      <c r="S25" s="118" t="str">
        <f>IF(R25="","",VLOOKUP(R25,snomed,3,FALSE))</f>
        <v/>
      </c>
    </row>
    <row r="26" spans="1:19" ht="14.25" customHeight="1">
      <c r="A26" t="s">
        <v>224</v>
      </c>
      <c r="B26" s="30" t="s">
        <v>49</v>
      </c>
      <c r="C26" s="2"/>
      <c r="H26" s="75" t="str">
        <f ca="1">IF(I26="","",VLOOKUP(I26,AftalerDatoer!$C$3:$E$26,2,FALSE))</f>
        <v/>
      </c>
      <c r="I26" t="str" cm="1">
        <f t="array" aca="1" ref="I26" ca="1">IF(INDIRECT(N26)="","",INDIRECT(O26))</f>
        <v/>
      </c>
      <c r="J26" t="str" cm="1">
        <f t="array" aca="1" ref="J26" ca="1">IF(INDIRECT(N26)="","",INDIRECT(N26))</f>
        <v/>
      </c>
      <c r="K26" s="76" t="str">
        <f t="shared" ca="1" si="0"/>
        <v/>
      </c>
      <c r="N26" s="72" t="s">
        <v>225</v>
      </c>
      <c r="O26" s="72" t="s">
        <v>226</v>
      </c>
      <c r="P26" t="str">
        <f>VLOOKUP(A26,snomed2,2,FALSE)</f>
        <v>bruger af nicotin under graviditet</v>
      </c>
      <c r="Q26" t="str">
        <f>VLOOKUP(A26,snomed2,3,FALSE)</f>
        <v>598221000005106</v>
      </c>
      <c r="R26" s="118" t="str">
        <f>IF(C26="","",VLOOKUP(C26,m_bruNit,3,FALSE))</f>
        <v/>
      </c>
      <c r="S26" s="118" t="str">
        <f>IF(R26="","",VLOOKUP(R26,snomed,3,FALSE))</f>
        <v/>
      </c>
    </row>
    <row r="27" spans="1:19" ht="14.25" customHeight="1">
      <c r="A27" t="s">
        <v>227</v>
      </c>
      <c r="B27" s="30" t="s">
        <v>28</v>
      </c>
      <c r="H27" s="75" t="str">
        <f ca="1">IF(I27="","",VLOOKUP(I27,AftalerDatoer!$C$3:$E$26,2,FALSE))</f>
        <v/>
      </c>
      <c r="I27" t="str" cm="1">
        <f t="array" aca="1" ref="I27" ca="1">IF(INDIRECT(N27)="","",INDIRECT(O27))</f>
        <v/>
      </c>
      <c r="J27" t="str" cm="1">
        <f t="array" aca="1" ref="J27" ca="1">IF(INDIRECT(N27)="","",INDIRECT(N27))</f>
        <v/>
      </c>
      <c r="K27" s="76" t="str">
        <f t="shared" ca="1" si="0"/>
        <v/>
      </c>
      <c r="N27" s="72" t="s">
        <v>228</v>
      </c>
      <c r="O27" s="72" t="s">
        <v>229</v>
      </c>
      <c r="P27" t="str">
        <f>VLOOKUP(A27,snomed2,2,FALSE)</f>
        <v>dato for ophør med brug af nicotin</v>
      </c>
      <c r="Q27" t="str">
        <f>VLOOKUP(A27,snomed2,3,FALSE)</f>
        <v>598261000005102</v>
      </c>
      <c r="R27" s="117"/>
    </row>
    <row r="28" spans="1:19">
      <c r="A28" s="1" t="s">
        <v>230</v>
      </c>
      <c r="H28" s="75" t="str">
        <f ca="1">IF(I28="","",VLOOKUP(I28,AftalerDatoer!$C$3:$E$26,2,FALSE))</f>
        <v/>
      </c>
      <c r="I28" t="str" cm="1">
        <f t="array" aca="1" ref="I28" ca="1">IF(INDIRECT(N28)="","",INDIRECT(O28))</f>
        <v/>
      </c>
      <c r="J28" t="str" cm="1">
        <f t="array" aca="1" ref="J28" ca="1">IF(INDIRECT(N28)="","",INDIRECT(N28))</f>
        <v/>
      </c>
      <c r="K28" s="76" t="str">
        <f t="shared" ca="1" si="0"/>
        <v/>
      </c>
      <c r="N28" s="72" t="s">
        <v>231</v>
      </c>
      <c r="O28" s="72" t="s">
        <v>232</v>
      </c>
      <c r="P28" t="str">
        <f>VLOOKUP(A28,snomed2,2,FALSE)</f>
        <v>adfærd i relation til brug af stof</v>
      </c>
      <c r="Q28" t="str">
        <f>VLOOKUP(A28,snomed2,3,FALSE)</f>
        <v>1187057000</v>
      </c>
      <c r="R28" s="117"/>
    </row>
    <row r="29" spans="1:19" ht="14.25" customHeight="1">
      <c r="A29" t="s">
        <v>233</v>
      </c>
      <c r="B29" s="30" t="s">
        <v>34</v>
      </c>
      <c r="H29" s="75" t="str">
        <f ca="1">IF(I29="","",VLOOKUP(I29,AftalerDatoer!$C$3:$E$26,2,FALSE))</f>
        <v/>
      </c>
      <c r="I29" t="str" cm="1">
        <f t="array" aca="1" ref="I29" ca="1">IF(INDIRECT(N29)="","",INDIRECT(O29))</f>
        <v/>
      </c>
      <c r="J29" t="str" cm="1">
        <f t="array" aca="1" ref="J29" ca="1">IF(INDIRECT(N29)="","",INDIRECT(N29))</f>
        <v/>
      </c>
      <c r="K29" s="76" t="str">
        <f t="shared" ca="1" si="0"/>
        <v/>
      </c>
      <c r="N29" s="72" t="s">
        <v>234</v>
      </c>
      <c r="O29" s="72" t="s">
        <v>235</v>
      </c>
      <c r="P29" t="str">
        <f>VLOOKUP(A29,snomed2,2,FALSE)</f>
        <v>nikotinpose</v>
      </c>
      <c r="Q29" t="str">
        <f>VLOOKUP(A29,snomed2,3,FALSE)</f>
        <v>598111000005109</v>
      </c>
      <c r="R29" s="118" t="str">
        <f>IF(C29="","",VLOOKUP(C29,vand_snom,3,FALSE))</f>
        <v/>
      </c>
      <c r="S29" s="118" t="str">
        <f>IF(R29="","",VLOOKUP(R29,snomed,3,FALSE))</f>
        <v/>
      </c>
    </row>
    <row r="30" spans="1:19" ht="14.25" customHeight="1">
      <c r="A30" t="s">
        <v>236</v>
      </c>
      <c r="B30" s="30" t="s">
        <v>43</v>
      </c>
      <c r="H30" s="75" t="str">
        <f ca="1">IF(I30="","",VLOOKUP(I30,AftalerDatoer!$C$3:$E$26,2,FALSE))</f>
        <v/>
      </c>
      <c r="I30" t="str" cm="1">
        <f t="array" aca="1" ref="I30" ca="1">IF(INDIRECT(N30)="","",INDIRECT(O30))</f>
        <v/>
      </c>
      <c r="J30" t="str" cm="1">
        <f t="array" aca="1" ref="J30" ca="1">IF(INDIRECT(N30)="","",INDIRECT(N30))</f>
        <v/>
      </c>
      <c r="K30" s="76" t="str">
        <f t="shared" ca="1" si="0"/>
        <v/>
      </c>
      <c r="N30" s="72" t="s">
        <v>237</v>
      </c>
      <c r="O30" s="72" t="s">
        <v>238</v>
      </c>
      <c r="P30" t="str">
        <f>VLOOKUP(A30,snomed2,2,FALSE)</f>
        <v>E/dag</v>
      </c>
      <c r="Q30" t="str">
        <f>VLOOKUP(A30,snomed2,3,FALSE)</f>
        <v>258950000</v>
      </c>
      <c r="R30" s="117"/>
    </row>
    <row r="31" spans="1:19" ht="14.25" customHeight="1">
      <c r="A31" t="s">
        <v>239</v>
      </c>
      <c r="B31" s="30" t="s">
        <v>34</v>
      </c>
      <c r="H31" s="75" t="str">
        <f ca="1">IF(I31="","",VLOOKUP(I31,AftalerDatoer!$C$3:$E$26,2,FALSE))</f>
        <v/>
      </c>
      <c r="I31" t="str" cm="1">
        <f t="array" aca="1" ref="I31" ca="1">IF(INDIRECT(N31)="","",INDIRECT(O31))</f>
        <v/>
      </c>
      <c r="J31" t="str" cm="1">
        <f t="array" aca="1" ref="J31" ca="1">IF(INDIRECT(N31)="","",INDIRECT(N31))</f>
        <v/>
      </c>
      <c r="K31" s="76" t="str">
        <f t="shared" ca="1" si="0"/>
        <v/>
      </c>
      <c r="N31" s="72" t="s">
        <v>240</v>
      </c>
      <c r="O31" s="72" t="s">
        <v>241</v>
      </c>
      <c r="P31" t="str">
        <f>VLOOKUP(A31,snomed2,2,FALSE)</f>
        <v>nikotintyggegummi</v>
      </c>
      <c r="Q31" t="str">
        <f>VLOOKUP(A31,snomed2,3,FALSE)</f>
        <v>598101000005106</v>
      </c>
      <c r="R31" s="118" t="str">
        <f>IF(C31="","",VLOOKUP(C31,vand_snom,3,FALSE))</f>
        <v/>
      </c>
      <c r="S31" s="118" t="str">
        <f>IF(R31="","",VLOOKUP(R31,snomed,3,FALSE))</f>
        <v/>
      </c>
    </row>
    <row r="32" spans="1:19" ht="14.25" customHeight="1">
      <c r="A32" t="s">
        <v>242</v>
      </c>
      <c r="B32" s="30" t="s">
        <v>70</v>
      </c>
      <c r="H32" s="75" t="str">
        <f ca="1">IF(I32="","",VLOOKUP(I32,AftalerDatoer!$C$3:$E$26,2,FALSE))</f>
        <v/>
      </c>
      <c r="I32" t="str" cm="1">
        <f t="array" aca="1" ref="I32" ca="1">IF(INDIRECT(N32)="","",INDIRECT(O32))</f>
        <v/>
      </c>
      <c r="J32" t="str" cm="1">
        <f t="array" aca="1" ref="J32" ca="1">IF(INDIRECT(N32)="","",INDIRECT(N32))</f>
        <v/>
      </c>
      <c r="K32" s="76" t="str">
        <f t="shared" ca="1" si="0"/>
        <v/>
      </c>
      <c r="N32" s="72" t="s">
        <v>243</v>
      </c>
      <c r="O32" s="72" t="s">
        <v>244</v>
      </c>
      <c r="P32" t="str">
        <f>VLOOKUP(A32,snomed2,2,FALSE)</f>
        <v>E/dag</v>
      </c>
      <c r="Q32" t="str">
        <f>VLOOKUP(A32,snomed2,3,FALSE)</f>
        <v>258950000</v>
      </c>
      <c r="R32" s="117"/>
    </row>
    <row r="33" spans="1:19" ht="14.25" customHeight="1">
      <c r="A33" t="s">
        <v>245</v>
      </c>
      <c r="B33" s="30" t="s">
        <v>34</v>
      </c>
      <c r="H33" s="75" t="str">
        <f ca="1">IF(I33="","",VLOOKUP(I33,AftalerDatoer!$C$3:$E$26,2,FALSE))</f>
        <v/>
      </c>
      <c r="I33" t="str" cm="1">
        <f t="array" aca="1" ref="I33" ca="1">IF(INDIRECT(N33)="","",INDIRECT(O33))</f>
        <v/>
      </c>
      <c r="J33" t="str" cm="1">
        <f t="array" aca="1" ref="J33" ca="1">IF(INDIRECT(N33)="","",INDIRECT(N33))</f>
        <v/>
      </c>
      <c r="K33" s="76" t="str">
        <f t="shared" ca="1" si="0"/>
        <v/>
      </c>
      <c r="N33" s="72" t="s">
        <v>246</v>
      </c>
      <c r="O33" s="72" t="s">
        <v>247</v>
      </c>
      <c r="P33" t="str">
        <f>VLOOKUP(A33,snomed2,2,FALSE)</f>
        <v>elektronisk cigaret</v>
      </c>
      <c r="Q33" t="str">
        <f>VLOOKUP(A33,snomed2,3,FALSE)</f>
        <v>722498003</v>
      </c>
      <c r="R33" s="118" t="str">
        <f>IF(C33="","",VLOOKUP(C33,vand_snom,3,FALSE))</f>
        <v/>
      </c>
      <c r="S33" s="118" t="str">
        <f>IF(R33="","",VLOOKUP(R33,snomed,3,FALSE))</f>
        <v/>
      </c>
    </row>
    <row r="34" spans="1:19">
      <c r="A34" t="s">
        <v>248</v>
      </c>
      <c r="B34" s="30" t="s">
        <v>43</v>
      </c>
      <c r="P34" t="str">
        <f>VLOOKUP(A34,snomed2,2,FALSE)</f>
        <v>ml/dag</v>
      </c>
      <c r="Q34" t="str">
        <f>VLOOKUP(A34,snomed2,3,FALSE)</f>
        <v>258860005</v>
      </c>
      <c r="R34" s="117"/>
    </row>
    <row r="35" spans="1:19">
      <c r="A35" t="s">
        <v>249</v>
      </c>
      <c r="B35" s="30" t="s">
        <v>34</v>
      </c>
      <c r="P35" t="str">
        <f>VLOOKUP(A35,snomed2,2,FALSE)</f>
        <v>tyggetobak</v>
      </c>
      <c r="Q35" t="str">
        <f>VLOOKUP(A35,snomed2,3,FALSE)</f>
        <v>81911001</v>
      </c>
      <c r="R35" s="118" t="str">
        <f>IF(C35="","",VLOOKUP(C35,vand_snom,3,FALSE))</f>
        <v/>
      </c>
      <c r="S35" s="118" t="str">
        <f>IF(R35="","",VLOOKUP(R35,snomed,3,FALSE))</f>
        <v/>
      </c>
    </row>
    <row r="36" spans="1:19">
      <c r="A36" t="s">
        <v>250</v>
      </c>
      <c r="B36" s="30" t="s">
        <v>70</v>
      </c>
      <c r="P36" t="str">
        <f>VLOOKUP(A36,snomed2,2,FALSE)</f>
        <v>E/dag</v>
      </c>
      <c r="Q36" t="str">
        <f>VLOOKUP(A36,snomed2,3,FALSE)</f>
        <v>258950000</v>
      </c>
      <c r="R36" s="117"/>
    </row>
    <row r="37" spans="1:19">
      <c r="A37" t="s">
        <v>251</v>
      </c>
      <c r="B37" s="30" t="s">
        <v>34</v>
      </c>
      <c r="R37" s="118" t="str">
        <f>IF(C37="","",VLOOKUP(C37,vand_snom,3,FALSE))</f>
        <v/>
      </c>
      <c r="S37" s="118" t="str">
        <f>IF(R37="","",VLOOKUP(R37,snomed,3,FALSE))</f>
        <v/>
      </c>
    </row>
    <row r="38" spans="1:19">
      <c r="A38" t="s">
        <v>252</v>
      </c>
      <c r="B38" s="30" t="s">
        <v>49</v>
      </c>
      <c r="P38" t="str">
        <f>VLOOKUP(A38,snomed2,2,FALSE)</f>
        <v>vandpibe</v>
      </c>
      <c r="Q38" t="str">
        <f>VLOOKUP(A38,snomed2,3,FALSE)</f>
        <v>722495000</v>
      </c>
      <c r="R38" s="118" t="str">
        <f>IF(C38="","",VLOOKUP(C38,m_vandpibe,3,FALSE))</f>
        <v/>
      </c>
      <c r="S38" s="118" t="str">
        <f>IF(R38="","",VLOOKUP(R38,snomed,3,FALSE))</f>
        <v/>
      </c>
    </row>
    <row r="39" spans="1:19">
      <c r="A39" t="s">
        <v>253</v>
      </c>
      <c r="B39" s="30" t="s">
        <v>76</v>
      </c>
      <c r="P39" t="str">
        <f>VLOOKUP(A39,snomed2,2,FALSE)</f>
        <v>eksponering for potentielt skadeligt emne</v>
      </c>
      <c r="Q39" t="str">
        <f>VLOOKUP(A39,snomed2,3,FALSE)</f>
        <v>418715001</v>
      </c>
      <c r="R39" s="117"/>
    </row>
    <row r="40" spans="1:19">
      <c r="A40" s="1" t="s">
        <v>254</v>
      </c>
      <c r="P40" t="str">
        <f>VLOOKUP(A40,snomed2,2,FALSE)</f>
        <v>detaljer vedr. adfærd ifm. indtag af alkohol</v>
      </c>
      <c r="Q40" t="str">
        <f>VLOOKUP(A40,snomed2,3,FALSE)</f>
        <v>363905002</v>
      </c>
      <c r="R40" s="117"/>
    </row>
    <row r="41" spans="1:19">
      <c r="A41" t="s">
        <v>255</v>
      </c>
      <c r="B41" s="70" t="s">
        <v>34</v>
      </c>
      <c r="P41" t="str">
        <f>VLOOKUP(A41,snomed2,2,FALSE)</f>
        <v>bruger af alkohol før bekræftet graviditet</v>
      </c>
      <c r="Q41" t="str">
        <f>VLOOKUP(A41,snomed2,3,FALSE)</f>
        <v>568171000005100</v>
      </c>
      <c r="R41" s="118" t="str">
        <f>IF(C41="","",VLOOKUP(C41,vand_snom,3,FALSE))</f>
        <v/>
      </c>
      <c r="S41" s="118" t="str">
        <f>IF(R41="","",VLOOKUP(R41,snomed,3,FALSE))</f>
        <v/>
      </c>
    </row>
    <row r="42" spans="1:19">
      <c r="A42" t="s">
        <v>256</v>
      </c>
      <c r="B42" s="30" t="s">
        <v>43</v>
      </c>
      <c r="P42" t="str">
        <f>VLOOKUP(A42,snomed2,2,FALSE)</f>
        <v>alkoholgenstande/uge</v>
      </c>
      <c r="Q42" t="str">
        <f>VLOOKUP(A42,snomed2,3,FALSE)</f>
        <v>228958009</v>
      </c>
      <c r="R42" s="117"/>
    </row>
    <row r="43" spans="1:19">
      <c r="A43" t="s">
        <v>257</v>
      </c>
      <c r="B43" s="30" t="s">
        <v>34</v>
      </c>
      <c r="P43" t="str">
        <f>VLOOKUP(A43,snomed2,2,FALSE)</f>
        <v>alkoholindtag under graviditet</v>
      </c>
      <c r="Q43" t="str">
        <f>VLOOKUP(A43,snomed2,3,FALSE)</f>
        <v>427013000</v>
      </c>
      <c r="R43" s="118" t="str">
        <f>IF(C43="","",VLOOKUP(C43,vand_snom,3,FALSE))</f>
        <v/>
      </c>
      <c r="S43" s="118" t="str">
        <f>IF(R43="","",VLOOKUP(R43,snomed,3,FALSE))</f>
        <v/>
      </c>
    </row>
    <row r="44" spans="1:19">
      <c r="A44" t="s">
        <v>258</v>
      </c>
      <c r="B44" s="30" t="s">
        <v>70</v>
      </c>
      <c r="P44" t="str">
        <f>VLOOKUP(A44,snomed2,2,FALSE)</f>
        <v>alkoholgenstande/uge</v>
      </c>
      <c r="Q44" t="str">
        <f>VLOOKUP(A44,snomed2,3,FALSE)</f>
        <v>228958009</v>
      </c>
      <c r="R44" s="117"/>
    </row>
    <row r="45" spans="1:19">
      <c r="A45" t="s">
        <v>259</v>
      </c>
      <c r="B45" s="30" t="s">
        <v>70</v>
      </c>
      <c r="P45" t="str">
        <f>VLOOKUP(A45,snomed2,2,FALSE)</f>
        <v>binge-drinking</v>
      </c>
      <c r="Q45" t="str">
        <f>VLOOKUP(A45,snomed2,3,FALSE)</f>
        <v>228326007</v>
      </c>
      <c r="R45" s="117"/>
    </row>
    <row r="46" spans="1:19">
      <c r="A46" t="s">
        <v>260</v>
      </c>
      <c r="B46" s="30" t="s">
        <v>76</v>
      </c>
      <c r="P46" t="str">
        <f>VLOOKUP(A46,snomed2,2,FALSE)</f>
        <v>graviditetsuge</v>
      </c>
      <c r="Q46" t="str">
        <f>VLOOKUP(A46,snomed2,3,FALSE)</f>
        <v>598141000005108</v>
      </c>
      <c r="R46" s="117"/>
    </row>
    <row r="47" spans="1:19">
      <c r="A47" t="s">
        <v>261</v>
      </c>
      <c r="B47" s="30" t="s">
        <v>49</v>
      </c>
      <c r="P47" t="str">
        <f>VLOOKUP(A47,snomed2,2,FALSE)</f>
        <v>TWEAK-score</v>
      </c>
      <c r="Q47" t="str">
        <f>VLOOKUP(A47,snomed2,3,FALSE)</f>
        <v>568251000005102</v>
      </c>
      <c r="R47" s="117"/>
    </row>
    <row r="48" spans="1:19">
      <c r="A48" s="1" t="s">
        <v>262</v>
      </c>
      <c r="P48" t="str">
        <f>VLOOKUP(A48,snomed2,2,FALSE)</f>
        <v>detaljer vedr. adfærd i relation til brug af stof</v>
      </c>
      <c r="Q48" t="str">
        <f>VLOOKUP(A48,snomed2,3,FALSE)</f>
        <v>363908000</v>
      </c>
      <c r="R48" s="117"/>
    </row>
    <row r="49" spans="1:19" ht="29.25">
      <c r="A49" s="2" t="s">
        <v>263</v>
      </c>
      <c r="B49" s="70" t="s">
        <v>34</v>
      </c>
      <c r="P49" t="str">
        <f>VLOOKUP(A49,snomed2,2,FALSE)</f>
        <v>træk vedr. stof</v>
      </c>
      <c r="Q49" t="str">
        <f>VLOOKUP(A49,snomed2,3,FALSE)</f>
        <v>361055000</v>
      </c>
      <c r="R49" s="118" t="str">
        <f>IF(C49="","",VLOOKUP(C49,vand_snom,3,FALSE))</f>
        <v/>
      </c>
      <c r="S49" s="118" t="str">
        <f>IF(R49="","",VLOOKUP(R49,snomed,3,FALSE))</f>
        <v/>
      </c>
    </row>
    <row r="50" spans="1:19">
      <c r="A50" t="s">
        <v>264</v>
      </c>
      <c r="B50" s="30" t="s">
        <v>74</v>
      </c>
      <c r="C50" s="1" t="s">
        <v>265</v>
      </c>
      <c r="D50" s="1"/>
      <c r="P50" t="str">
        <f>VLOOKUP(A50,snomed2,2,FALSE)</f>
        <v>træk vedr. stof</v>
      </c>
      <c r="Q50" t="str">
        <f>VLOOKUP(A50,snomed2,3,FALSE)</f>
        <v>373063009</v>
      </c>
      <c r="R50" s="117"/>
    </row>
    <row r="51" spans="1:19">
      <c r="A51" t="s">
        <v>266</v>
      </c>
      <c r="D51" t="str">
        <f>IF(C51="","",VLOOKUP(C51,RM_kat,2,FALSE))</f>
        <v/>
      </c>
      <c r="R51" s="118" t="str">
        <f>IF(C51="","",VLOOKUP(C51,vand_snom,3,FALSE))</f>
        <v/>
      </c>
      <c r="S51" s="118" t="str">
        <f>IF(R51="","",VLOOKUP(R51,snomed,3,FALSE))</f>
        <v/>
      </c>
    </row>
    <row r="52" spans="1:19">
      <c r="A52" t="s">
        <v>266</v>
      </c>
      <c r="D52" t="str">
        <f>IF(C52="","",VLOOKUP(C52,RM_kat,2,FALSE))</f>
        <v/>
      </c>
      <c r="R52" s="118" t="str">
        <f>IF(C52="","",VLOOKUP(C52,vand_snom,3,FALSE))</f>
        <v/>
      </c>
      <c r="S52" s="118" t="str">
        <f>IF(R52="","",VLOOKUP(R52,snomed,3,FALSE))</f>
        <v/>
      </c>
    </row>
    <row r="53" spans="1:19">
      <c r="A53" t="s">
        <v>266</v>
      </c>
      <c r="D53" t="str">
        <f>IF(C53="","",VLOOKUP(C53,RM_kat,2,FALSE))</f>
        <v/>
      </c>
      <c r="R53" s="118" t="str">
        <f>IF(C53="","",VLOOKUP(C53,vand_snom,3,FALSE))</f>
        <v/>
      </c>
      <c r="S53" s="118" t="str">
        <f>IF(R53="","",VLOOKUP(R53,snomed,3,FALSE))</f>
        <v/>
      </c>
    </row>
    <row r="54" spans="1:19">
      <c r="A54" t="s">
        <v>266</v>
      </c>
      <c r="D54" t="str">
        <f>IF(C54="","",VLOOKUP(C54,RM_kat,2,FALSE))</f>
        <v/>
      </c>
      <c r="R54" s="118" t="str">
        <f>IF(C54="","",VLOOKUP(C54,vand_snom,3,FALSE))</f>
        <v/>
      </c>
      <c r="S54" s="118" t="str">
        <f>IF(R54="","",VLOOKUP(R54,snomed,3,FALSE))</f>
        <v/>
      </c>
    </row>
    <row r="55" spans="1:19">
      <c r="A55" t="s">
        <v>266</v>
      </c>
      <c r="R55" s="118" t="str">
        <f>IF(C55="","",VLOOKUP(C55,vand_snom,3,FALSE))</f>
        <v/>
      </c>
      <c r="S55" s="118" t="str">
        <f>IF(R55="","",VLOOKUP(R55,snomed,3,FALSE))</f>
        <v/>
      </c>
    </row>
    <row r="56" spans="1:19">
      <c r="A56" s="1" t="s">
        <v>267</v>
      </c>
      <c r="R56" s="117"/>
    </row>
    <row r="57" spans="1:19">
      <c r="A57" t="s">
        <v>268</v>
      </c>
      <c r="B57" s="30" t="s">
        <v>76</v>
      </c>
      <c r="P57" t="str">
        <f>VLOOKUP(A57,snomed2,2,FALSE)</f>
        <v>træk vedr. ernæring</v>
      </c>
      <c r="Q57" t="str">
        <f>VLOOKUP(A57,snomed2,3,FALSE)</f>
        <v>364393001</v>
      </c>
      <c r="R57" s="117"/>
    </row>
    <row r="58" spans="1:19">
      <c r="A58" t="s">
        <v>269</v>
      </c>
      <c r="B58" s="30" t="s">
        <v>76</v>
      </c>
      <c r="P58" t="str">
        <f>VLOOKUP(A58,snomed2,2,FALSE)</f>
        <v>træning</v>
      </c>
      <c r="Q58" t="str">
        <f>VLOOKUP(A58,snomed2,3,FALSE)</f>
        <v>256235009</v>
      </c>
      <c r="R58" s="117"/>
    </row>
    <row r="59" spans="1:19">
      <c r="A59" s="1" t="s">
        <v>270</v>
      </c>
      <c r="P59" t="str">
        <f>VLOOKUP(A59,snomed2,2,FALSE)</f>
        <v>oplysninger om partner</v>
      </c>
      <c r="Q59" t="str">
        <f>VLOOKUP(A59,snomed2,3,FALSE)</f>
        <v>648091000005104</v>
      </c>
      <c r="R59" s="117"/>
    </row>
    <row r="60" spans="1:19">
      <c r="A60" t="s">
        <v>271</v>
      </c>
      <c r="B60" s="30" t="s">
        <v>49</v>
      </c>
      <c r="P60" t="str">
        <f>VLOOKUP(A60,snomed2,2,FALSE)</f>
        <v>partners beskæftigelse</v>
      </c>
      <c r="Q60" t="str">
        <f>VLOOKUP(A60,snomed2,3,FALSE)</f>
        <v>1252646008</v>
      </c>
      <c r="R60" s="118" t="str">
        <f>IF(C60="","",VLOOKUP(C60,vand_snom,3,FALSE))</f>
        <v/>
      </c>
      <c r="S60" s="118" t="str">
        <f>IF(R60="","",VLOOKUP(R60,snomed,3,FALSE))</f>
        <v/>
      </c>
    </row>
    <row r="61" spans="1:19">
      <c r="A61" t="s">
        <v>272</v>
      </c>
      <c r="B61" s="30" t="s">
        <v>34</v>
      </c>
      <c r="P61" t="str">
        <f>VLOOKUP(A61,snomed2,2,FALSE)</f>
        <v>partner har udfordringer med fysisk helbred</v>
      </c>
      <c r="Q61" t="str">
        <f>VLOOKUP(A61,snomed2,3,FALSE)</f>
        <v>608001000005102</v>
      </c>
      <c r="R61" s="118" t="str">
        <f>IF(C61="","",VLOOKUP(C61,vand_snom,3,FALSE))</f>
        <v/>
      </c>
      <c r="S61" s="118" t="str">
        <f>IF(R61="","",VLOOKUP(R61,snomed,3,FALSE))</f>
        <v/>
      </c>
    </row>
    <row r="62" spans="1:19">
      <c r="A62" t="s">
        <v>273</v>
      </c>
      <c r="B62" s="30" t="s">
        <v>34</v>
      </c>
      <c r="P62" t="str">
        <f>VLOOKUP(A62,snomed2,2,FALSE)</f>
        <v>partner har udfordringer med psykisk helbred</v>
      </c>
      <c r="Q62" t="str">
        <f>VLOOKUP(A62,snomed2,3,FALSE)</f>
        <v>608011000005104</v>
      </c>
      <c r="R62" s="118" t="str">
        <f>IF(C62="","",VLOOKUP(C62,vand_snom,3,FALSE))</f>
        <v/>
      </c>
      <c r="S62" s="118" t="str">
        <f>IF(R62="","",VLOOKUP(R62,snomed,3,FALSE))</f>
        <v/>
      </c>
    </row>
    <row r="63" spans="1:19">
      <c r="A63" t="s">
        <v>274</v>
      </c>
      <c r="B63" s="30" t="s">
        <v>34</v>
      </c>
      <c r="P63" t="str">
        <f>VLOOKUP(A63,snomed2,2,FALSE)</f>
        <v>partner har problematisk alkoholforbrug</v>
      </c>
      <c r="Q63" t="str">
        <f>VLOOKUP(A63,snomed2,3,FALSE)</f>
        <v>648041000005106</v>
      </c>
      <c r="R63" s="118" t="str">
        <f>IF(C63="","",VLOOKUP(C63,vand_snom,3,FALSE))</f>
        <v/>
      </c>
      <c r="S63" s="118" t="str">
        <f>IF(R63="","",VLOOKUP(R63,snomed,3,FALSE))</f>
        <v/>
      </c>
    </row>
    <row r="64" spans="1:19">
      <c r="A64" t="s">
        <v>275</v>
      </c>
      <c r="B64" s="30" t="s">
        <v>34</v>
      </c>
      <c r="P64" t="str">
        <f>VLOOKUP(A64,snomed2,2,FALSE)</f>
        <v>partner har skadeligt brug af rusmidler</v>
      </c>
      <c r="Q64" t="str">
        <f>VLOOKUP(A64,snomed2,3,FALSE)</f>
        <v>608031000005108</v>
      </c>
      <c r="R64" s="118" t="str">
        <f>IF(C64="","",VLOOKUP(C64,vand_snom,3,FALSE))</f>
        <v/>
      </c>
      <c r="S64" s="118" t="str">
        <f>IF(R64="","",VLOOKUP(R64,snomed,3,FALSE))</f>
        <v/>
      </c>
    </row>
    <row r="65" spans="1:19">
      <c r="A65" t="s">
        <v>276</v>
      </c>
      <c r="B65" s="30" t="s">
        <v>34</v>
      </c>
      <c r="P65" t="str">
        <f>VLOOKUP(A65,snomed2,2,FALSE)</f>
        <v>partner har socialt problem</v>
      </c>
      <c r="Q65" t="str">
        <f>VLOOKUP(A65,snomed2,3,FALSE)</f>
        <v>608041000005100</v>
      </c>
      <c r="R65" s="118" t="str">
        <f>IF(C65="","",VLOOKUP(C65,vand_snom,3,FALSE))</f>
        <v/>
      </c>
      <c r="S65" s="118" t="str">
        <f>IF(R65="","",VLOOKUP(R65,snomed,3,FALSE))</f>
        <v/>
      </c>
    </row>
    <row r="66" spans="1:19">
      <c r="A66" t="s">
        <v>277</v>
      </c>
      <c r="B66" s="30" t="s">
        <v>76</v>
      </c>
      <c r="P66" t="str">
        <f>VLOOKUP(A66,snomed2,2,FALSE)</f>
        <v>relevant information</v>
      </c>
      <c r="Q66" t="str">
        <f>VLOOKUP(A66,snomed2,3,FALSE)</f>
        <v>398005008</v>
      </c>
      <c r="R66" s="117"/>
    </row>
    <row r="67" spans="1:19">
      <c r="A67" s="1" t="s">
        <v>278</v>
      </c>
      <c r="R67" s="117"/>
    </row>
    <row r="68" spans="1:19">
      <c r="A68" t="s">
        <v>279</v>
      </c>
      <c r="B68" s="30" t="s">
        <v>76</v>
      </c>
      <c r="P68" t="str">
        <f>VLOOKUP(A68,snomed2,2,FALSE)</f>
        <v>ønsket fødested</v>
      </c>
      <c r="Q68" t="str">
        <f>VLOOKUP(A68,snomed2,3,FALSE)</f>
        <v>648021000005101</v>
      </c>
      <c r="R68" s="117"/>
    </row>
    <row r="69" spans="1:19">
      <c r="A69" t="s">
        <v>280</v>
      </c>
      <c r="B69" s="30" t="s">
        <v>34</v>
      </c>
      <c r="P69" t="str">
        <f>VLOOKUP(A69,snomed2,2,FALSE)</f>
        <v>hjemmefødsel ønsket</v>
      </c>
      <c r="Q69" t="str">
        <f>VLOOKUP(A69,snomed2,3,FALSE)</f>
        <v>2903011000005100</v>
      </c>
      <c r="R69" s="118" t="str">
        <f>IF(C69="","",VLOOKUP(C69,vand_snom,3,FALSE))</f>
        <v/>
      </c>
      <c r="S69" s="118" t="str">
        <f>IF(R69="","",VLOOKUP(R69,snomed,3,FALSE))</f>
        <v/>
      </c>
    </row>
    <row r="70" spans="1:19">
      <c r="A70" t="s">
        <v>281</v>
      </c>
      <c r="B70" s="30" t="s">
        <v>76</v>
      </c>
      <c r="P70" t="str">
        <f>VLOOKUP(A70,snomed2,2,FALSE)</f>
        <v>planlagt fødested</v>
      </c>
      <c r="Q70" t="str">
        <f>VLOOKUP(A70,snomed2,3,FALSE)</f>
        <v>648011000005107</v>
      </c>
      <c r="R70" s="117"/>
    </row>
    <row r="71" spans="1:19">
      <c r="A71" s="8" t="s">
        <v>281</v>
      </c>
      <c r="P71" t="str">
        <f>VLOOKUP(A71,snomed2,2,FALSE)</f>
        <v>planlagt fødested</v>
      </c>
      <c r="Q71" t="str">
        <f>VLOOKUP(A71,snomed2,3,FALSE)</f>
        <v>648011000005107</v>
      </c>
      <c r="R71" s="117"/>
    </row>
    <row r="72" spans="1:19">
      <c r="A72" t="s">
        <v>282</v>
      </c>
      <c r="B72" s="30" t="s">
        <v>283</v>
      </c>
      <c r="R72" s="117"/>
    </row>
    <row r="73" spans="1:19">
      <c r="A73" t="s">
        <v>284</v>
      </c>
      <c r="B73" s="30" t="s">
        <v>283</v>
      </c>
      <c r="R73" s="117"/>
    </row>
    <row r="74" spans="1:19">
      <c r="A74" s="8" t="s">
        <v>279</v>
      </c>
      <c r="P74" t="str">
        <f>VLOOKUP(A74,snomed2,2,FALSE)</f>
        <v>ønsket fødested</v>
      </c>
      <c r="Q74" t="str">
        <f>VLOOKUP(A74,snomed2,3,FALSE)</f>
        <v>648021000005101</v>
      </c>
      <c r="R74" s="117"/>
    </row>
    <row r="75" spans="1:19">
      <c r="A75" t="s">
        <v>282</v>
      </c>
      <c r="B75" s="30" t="s">
        <v>283</v>
      </c>
      <c r="R75" s="117"/>
    </row>
    <row r="76" spans="1:19">
      <c r="A76" t="s">
        <v>284</v>
      </c>
      <c r="B76" s="30" t="s">
        <v>283</v>
      </c>
      <c r="R76" s="117"/>
    </row>
    <row r="77" spans="1:19">
      <c r="A77" t="s">
        <v>285</v>
      </c>
      <c r="B77" s="30" t="s">
        <v>76</v>
      </c>
      <c r="P77" t="str">
        <f>VLOOKUP(A77,snomed2,2,FALSE)</f>
        <v>tildelt jordemoderklinik</v>
      </c>
      <c r="Q77" t="str">
        <f>VLOOKUP(A77,snomed2,3,FALSE)</f>
        <v>648081000005102</v>
      </c>
      <c r="R77" s="117"/>
    </row>
    <row r="78" spans="1:19">
      <c r="A78" t="s">
        <v>286</v>
      </c>
      <c r="B78" s="30" t="s">
        <v>76</v>
      </c>
      <c r="P78" t="str">
        <f>VLOOKUP(A78,snomed2,2,FALSE)</f>
        <v>ønsket jordemoderklinik</v>
      </c>
      <c r="Q78" t="str">
        <f>VLOOKUP(A78,snomed2,3,FALSE)</f>
        <v>648071000005100</v>
      </c>
      <c r="R78" s="117"/>
    </row>
    <row r="79" spans="1:19">
      <c r="A79" t="s">
        <v>287</v>
      </c>
      <c r="B79" s="30" t="s">
        <v>76</v>
      </c>
      <c r="P79" t="str">
        <f>VLOOKUP(A79,snomed2,2,FALSE)</f>
        <v>ønsket jordemoderklinik</v>
      </c>
      <c r="Q79" t="str">
        <f>VLOOKUP(A79,snomed2,3,FALSE)</f>
        <v>648071000005100</v>
      </c>
      <c r="R79" s="117"/>
    </row>
    <row r="80" spans="1:19">
      <c r="A80" t="s">
        <v>288</v>
      </c>
      <c r="B80" s="30" t="s">
        <v>289</v>
      </c>
      <c r="P80" t="str">
        <f>VLOOKUP(A80,snomed2,2,FALSE)</f>
        <v>ugedage</v>
      </c>
      <c r="Q80" t="str">
        <f>VLOOKUP(A80,snomed2,3,FALSE)</f>
        <v>307144000</v>
      </c>
      <c r="R80" s="118" t="str">
        <f>IF(C80="","",VLOOKUP(C80,vand_snom,3,FALSE))</f>
        <v/>
      </c>
      <c r="S80" s="118" t="str">
        <f>IF(R80="","",VLOOKUP(R80,snomed,3,FALSE))</f>
        <v/>
      </c>
    </row>
    <row r="81" spans="1:19">
      <c r="A81" t="s">
        <v>290</v>
      </c>
      <c r="B81" s="30" t="s">
        <v>34</v>
      </c>
      <c r="P81" t="str">
        <f>VLOOKUP(A81,snomed2,2,FALSE)</f>
        <v>fødselsforberedelse</v>
      </c>
      <c r="Q81" t="str">
        <f>VLOOKUP(A81,snomed2,3,FALSE)</f>
        <v>386235000</v>
      </c>
      <c r="R81" s="118" t="str">
        <f>IF(C81="","",VLOOKUP(C81,vand_snom,3,FALSE))</f>
        <v/>
      </c>
      <c r="S81" s="118" t="str">
        <f>IF(R81="","",VLOOKUP(R81,snomed,3,FALSE))</f>
        <v/>
      </c>
    </row>
    <row r="82" spans="1:19">
      <c r="A82" t="s">
        <v>291</v>
      </c>
      <c r="B82" s="30" t="s">
        <v>292</v>
      </c>
      <c r="P82" t="str">
        <f>VLOOKUP(A82,snomed2,2,FALSE)</f>
        <v>konsultation - handling</v>
      </c>
      <c r="Q82" t="str">
        <f>VLOOKUP(A82,snomed2,3,FALSE)</f>
        <v>129430004</v>
      </c>
      <c r="R82" s="118" t="str">
        <f>IF(C82="","",VLOOKUP(C82,vand_snom,3,FALSE))</f>
        <v/>
      </c>
      <c r="S82" s="118" t="str">
        <f>IF(R82="","",VLOOKUP(R82,snomed,3,FALSE))</f>
        <v/>
      </c>
    </row>
    <row r="83" spans="1:19">
      <c r="A83" s="8" t="s">
        <v>285</v>
      </c>
      <c r="P83" t="str">
        <f>VLOOKUP(A83,snomed2,2,FALSE)</f>
        <v>tildelt jordemoderklinik</v>
      </c>
      <c r="Q83" t="str">
        <f>VLOOKUP(A83,snomed2,3,FALSE)</f>
        <v>648081000005102</v>
      </c>
      <c r="R83" s="117"/>
    </row>
    <row r="84" spans="1:19">
      <c r="A84" t="s">
        <v>282</v>
      </c>
      <c r="B84" s="30" t="s">
        <v>283</v>
      </c>
      <c r="R84" s="117"/>
    </row>
    <row r="85" spans="1:19">
      <c r="A85" t="s">
        <v>284</v>
      </c>
      <c r="B85" s="30" t="s">
        <v>283</v>
      </c>
      <c r="R85" s="117"/>
    </row>
    <row r="86" spans="1:19">
      <c r="A86" s="8" t="s">
        <v>286</v>
      </c>
      <c r="P86" t="str">
        <f>VLOOKUP(A86,snomed2,2,FALSE)</f>
        <v>ønsket jordemoderklinik</v>
      </c>
      <c r="Q86" t="str">
        <f>VLOOKUP(A86,snomed2,3,FALSE)</f>
        <v>648071000005100</v>
      </c>
      <c r="R86" s="117"/>
    </row>
    <row r="87" spans="1:19">
      <c r="A87" t="s">
        <v>282</v>
      </c>
      <c r="B87" s="30" t="s">
        <v>283</v>
      </c>
      <c r="R87" s="117"/>
    </row>
    <row r="88" spans="1:19">
      <c r="A88" t="s">
        <v>284</v>
      </c>
      <c r="B88" s="30" t="s">
        <v>283</v>
      </c>
      <c r="R88" s="117"/>
    </row>
    <row r="89" spans="1:19">
      <c r="A89" s="8" t="s">
        <v>293</v>
      </c>
      <c r="P89" t="str">
        <f>VLOOKUP(A89,snomed2,2,FALSE)</f>
        <v>sundhedsplejen</v>
      </c>
      <c r="Q89" t="str">
        <f>VLOOKUP(A89,snomed2,3,FALSE)</f>
        <v>554021000005101</v>
      </c>
      <c r="R89" s="117"/>
    </row>
    <row r="90" spans="1:19">
      <c r="A90" t="s">
        <v>282</v>
      </c>
      <c r="B90" s="30" t="s">
        <v>283</v>
      </c>
      <c r="R90" s="117"/>
    </row>
    <row r="91" spans="1:19">
      <c r="A91" t="s">
        <v>284</v>
      </c>
      <c r="B91" s="30" t="s">
        <v>283</v>
      </c>
      <c r="R91" s="117"/>
    </row>
    <row r="92" spans="1:19">
      <c r="A92" s="1" t="s">
        <v>294</v>
      </c>
      <c r="P92" t="str">
        <f>VLOOKUP(A92,snomed2,2,FALSE)</f>
        <v>almen klinisk tilstand</v>
      </c>
      <c r="Q92" t="str">
        <f>VLOOKUP(A92,snomed2,3,FALSE)</f>
        <v>278844005</v>
      </c>
      <c r="R92" s="117"/>
    </row>
    <row r="93" spans="1:19">
      <c r="A93" t="s">
        <v>294</v>
      </c>
      <c r="B93" s="30" t="s">
        <v>40</v>
      </c>
      <c r="P93" t="str">
        <f>VLOOKUP(A93,snomed2,2,FALSE)</f>
        <v>almen klinisk tilstand</v>
      </c>
      <c r="Q93" t="str">
        <f>VLOOKUP(A93,snomed2,3,FALSE)</f>
        <v>278844005</v>
      </c>
      <c r="R93" s="117"/>
    </row>
    <row r="94" spans="1:19">
      <c r="A94" t="s">
        <v>295</v>
      </c>
      <c r="B94" s="70" t="s">
        <v>49</v>
      </c>
      <c r="C94" s="2"/>
      <c r="P94" t="str">
        <f>VLOOKUP(A94,snomed2,2,FALSE)</f>
        <v>vurdering af helbredsmæssige og sociale behov</v>
      </c>
      <c r="Q94" t="str">
        <f>VLOOKUP(A94,snomed2,3,FALSE)</f>
        <v>710824005</v>
      </c>
      <c r="R94" s="118" t="str">
        <f>IF(C94="","",VLOOKUP(C94,m_omsorg,3,FALSE))</f>
        <v/>
      </c>
      <c r="S94" s="118" t="str">
        <f>IF(R94="","",VLOOKUP(R94,snomed,3,FALSE))</f>
        <v/>
      </c>
    </row>
    <row r="95" spans="1:19">
      <c r="A95" t="s">
        <v>296</v>
      </c>
      <c r="B95" s="70" t="s">
        <v>142</v>
      </c>
      <c r="P95" t="str">
        <f>VLOOKUP(A95,snomed2,2,FALSE)</f>
        <v>henvisning mhp. obstetrisk og gynækologisk behandling</v>
      </c>
      <c r="Q95" t="str">
        <f>VLOOKUP(A95,snomed2,3,FALSE)</f>
        <v>306133003</v>
      </c>
      <c r="R95" s="118" t="str">
        <f>IF(C95="","",VLOOKUP(C95,vand_snom,3,FALSE))</f>
        <v/>
      </c>
      <c r="S95" s="118" t="str">
        <f>IF(R95="","",VLOOKUP(R95,snomed,3,FALSE))</f>
        <v/>
      </c>
    </row>
    <row r="96" spans="1:19">
      <c r="A96" t="s">
        <v>297</v>
      </c>
      <c r="B96" s="30" t="s">
        <v>76</v>
      </c>
      <c r="P96" t="str">
        <f>VLOOKUP(A96,snomed2,2,FALSE)</f>
        <v>indikation for procedure</v>
      </c>
      <c r="Q96" t="str">
        <f>VLOOKUP(A96,snomed2,3,FALSE)</f>
        <v>432678004</v>
      </c>
      <c r="R96" s="117"/>
    </row>
    <row r="97" spans="1:19">
      <c r="A97" t="s">
        <v>298</v>
      </c>
      <c r="B97" s="70" t="s">
        <v>34</v>
      </c>
      <c r="P97" t="str">
        <f>VLOOKUP(A97,snomed2,2,FALSE)</f>
        <v>henvisning til social- og sundhedsforvaltning</v>
      </c>
      <c r="Q97" t="str">
        <f>VLOOKUP(A97,snomed2,3,FALSE)</f>
        <v>306238000</v>
      </c>
      <c r="R97" s="118" t="str">
        <f>IF(C97="","",VLOOKUP(C97,vand_snom,3,FALSE))</f>
        <v/>
      </c>
      <c r="S97" s="118" t="str">
        <f>IF(R97="","",VLOOKUP(R97,snomed,3,FALSE))</f>
        <v/>
      </c>
    </row>
    <row r="98" spans="1:19">
      <c r="A98" t="s">
        <v>299</v>
      </c>
      <c r="B98" s="30" t="s">
        <v>40</v>
      </c>
      <c r="P98" t="str">
        <f>VLOOKUP(A98,snomed2,2,FALSE)</f>
        <v>indikation for procedure</v>
      </c>
      <c r="Q98" t="str">
        <f>VLOOKUP(A98,snomed2,3,FALSE)</f>
        <v>432678004</v>
      </c>
      <c r="R98" s="117"/>
    </row>
    <row r="99" spans="1:19">
      <c r="A99" t="s">
        <v>300</v>
      </c>
      <c r="B99" s="70" t="s">
        <v>34</v>
      </c>
      <c r="P99" t="str">
        <f>VLOOKUP(A99,snomed2,2,FALSE)</f>
        <v>flerfoldsgraviditet</v>
      </c>
      <c r="Q99" t="str">
        <f>VLOOKUP(A99,snomed2,3,FALSE)</f>
        <v>16356006</v>
      </c>
      <c r="R99" s="118" t="str">
        <f>IF(C99="","",VLOOKUP(C99,vand_snom,3,FALSE))</f>
        <v/>
      </c>
      <c r="S99" s="118" t="str">
        <f>IF(R99="","",VLOOKUP(R99,snomed,3,FALSE))</f>
        <v/>
      </c>
    </row>
    <row r="100" spans="1:19">
      <c r="A100" t="s">
        <v>301</v>
      </c>
      <c r="B100" s="30" t="s">
        <v>76</v>
      </c>
      <c r="P100" t="str">
        <f>VLOOKUP(A100,snomed2,2,FALSE)</f>
        <v>træk vedr. flerfoldsgraviditet med risikofaktorer</v>
      </c>
      <c r="Q100" t="str">
        <f>VLOOKUP(A100,snomed2,3,FALSE)</f>
        <v>648101000005108</v>
      </c>
      <c r="R100" s="117"/>
    </row>
    <row r="101" spans="1:19">
      <c r="A101" s="1" t="s">
        <v>302</v>
      </c>
      <c r="P101" t="str">
        <f>VLOOKUP(A101,snomed2,2,FALSE)</f>
        <v>Resume</v>
      </c>
      <c r="Q101" t="str">
        <f>VLOOKUP(A101,snomed2,3,FALSE)</f>
        <v>371534008</v>
      </c>
      <c r="R101" s="117"/>
    </row>
    <row r="102" spans="1:19">
      <c r="A102" t="s">
        <v>302</v>
      </c>
      <c r="B102" s="30" t="s">
        <v>76</v>
      </c>
      <c r="C102" s="41"/>
      <c r="P102" t="str">
        <f>VLOOKUP(A102,snomed2,2,FALSE)</f>
        <v>Resume</v>
      </c>
      <c r="Q102" t="str">
        <f>VLOOKUP(A102,snomed2,3,FALSE)</f>
        <v>371534008</v>
      </c>
      <c r="R102" s="117"/>
    </row>
    <row r="103" spans="1:19">
      <c r="R103" s="119"/>
    </row>
    <row r="104" spans="1:19" ht="24">
      <c r="A104" s="25" t="s">
        <v>303</v>
      </c>
      <c r="B104" s="31"/>
      <c r="C104" s="1" t="s">
        <v>27</v>
      </c>
      <c r="D104" s="33" t="s">
        <v>186</v>
      </c>
      <c r="E104" s="1" t="s">
        <v>29</v>
      </c>
      <c r="R104" s="116"/>
    </row>
    <row r="105" spans="1:19">
      <c r="A105" s="25" t="s">
        <v>28</v>
      </c>
      <c r="B105" s="24" t="str">
        <f>IF(C105="","",VLOOKUP(C105,AftalerDatoer!$C$3:$G$26,4,FALSE))</f>
        <v/>
      </c>
      <c r="C105" s="20"/>
      <c r="D105" s="19" t="str">
        <f>IF(C105="","",VLOOKUP(C105,AftalerDatoer!$C$3:$E$26,2,FALSE))</f>
        <v/>
      </c>
      <c r="E105" t="str" cm="1">
        <f t="array" ref="E105">_xlfn.IFS(C105="","",VLOOKUP(C105,AftalerDatoer!$C$3:$H$26,4,FALSE)="SM",VLOOKUP(C105,AftalerDatoer!$C$3:$H$26,3,FALSE),VLOOKUP(C105,AftalerDatoer!$C$3:$H$26,4,FALSE)="UL",VLOOKUP(C105,AftalerDatoer!$C$3:$H$26,5,FALSE))</f>
        <v/>
      </c>
      <c r="R105" s="117"/>
    </row>
    <row r="106" spans="1:19">
      <c r="A106" s="25" t="s">
        <v>188</v>
      </c>
      <c r="P106" t="str">
        <f>VLOOKUP(A106,snomed2,2,FALSE)</f>
        <v>beregnet terminsdato</v>
      </c>
      <c r="Q106" t="str">
        <f>VLOOKUP(A106,snomed2,3,FALSE)</f>
        <v>161714006</v>
      </c>
      <c r="R106" s="117"/>
    </row>
    <row r="107" spans="1:19">
      <c r="A107" s="26" t="s">
        <v>189</v>
      </c>
      <c r="B107" s="30" t="s">
        <v>28</v>
      </c>
      <c r="P107" t="str">
        <f>VLOOKUP(A107,snomed2,2,FALSE)</f>
        <v>seneste menstruationsperiodes 1. dag</v>
      </c>
      <c r="Q107" t="str">
        <f>VLOOKUP(A107,snomed2,3,FALSE)</f>
        <v>161713000</v>
      </c>
      <c r="R107" s="117"/>
    </row>
    <row r="108" spans="1:19">
      <c r="A108" s="26" t="s">
        <v>190</v>
      </c>
      <c r="B108" s="30" t="s">
        <v>191</v>
      </c>
      <c r="P108" t="str">
        <f>VLOOKUP(A108,snomed2,2,FALSE)</f>
        <v>varighed af menstruationscyklus</v>
      </c>
      <c r="Q108" t="str">
        <f>VLOOKUP(A108,snomed2,3,FALSE)</f>
        <v>364310004</v>
      </c>
      <c r="R108" s="117"/>
    </row>
    <row r="109" spans="1:19">
      <c r="A109" s="26" t="s">
        <v>192</v>
      </c>
      <c r="B109" s="30" t="s">
        <v>28</v>
      </c>
      <c r="P109" t="str">
        <f>VLOOKUP(A109,snomed2,2,FALSE)</f>
        <v>beregnet terminsdato fra seneste menstruation</v>
      </c>
      <c r="Q109" t="str">
        <f>VLOOKUP(A109,snomed2,3,FALSE)</f>
        <v>289206005</v>
      </c>
      <c r="R109" s="117"/>
    </row>
    <row r="110" spans="1:19">
      <c r="A110" s="26" t="s">
        <v>194</v>
      </c>
      <c r="B110" s="30" t="s">
        <v>34</v>
      </c>
      <c r="P110" t="str">
        <f>VLOOKUP(A110,snomed2,2,FALSE)</f>
        <v>graviditet med sikker termin</v>
      </c>
      <c r="Q110" t="str">
        <f>VLOOKUP(A110,snomed2,3,FALSE)</f>
        <v>567941000005109</v>
      </c>
      <c r="R110" s="118" t="str">
        <f>IF(C110="","",VLOOKUP(C110,vand_snom,3,FALSE))</f>
        <v/>
      </c>
      <c r="S110" s="118" t="str">
        <f>IF(R110="","",VLOOKUP(R110,snomed,3,FALSE))</f>
        <v/>
      </c>
    </row>
    <row r="111" spans="1:19">
      <c r="A111" s="26" t="s">
        <v>115</v>
      </c>
      <c r="B111" s="30" t="s">
        <v>76</v>
      </c>
      <c r="P111" t="str">
        <f>VLOOKUP(A111,snomed2,2,FALSE)</f>
        <v>relevant information</v>
      </c>
      <c r="Q111" t="str">
        <f>VLOOKUP(A111,snomed2,3,FALSE)</f>
        <v>398005008</v>
      </c>
      <c r="R111" s="117"/>
    </row>
    <row r="112" spans="1:19">
      <c r="A112" s="25" t="s">
        <v>195</v>
      </c>
      <c r="R112" s="117"/>
    </row>
    <row r="113" spans="1:19">
      <c r="A113" s="26" t="s">
        <v>196</v>
      </c>
      <c r="B113" s="30" t="s">
        <v>49</v>
      </c>
      <c r="P113" t="str">
        <f>VLOOKUP(A113,snomed2,2,FALSE)</f>
        <v>gennemført uddannelse</v>
      </c>
      <c r="Q113" t="str">
        <f>VLOOKUP(A113,snomed2,3,FALSE)</f>
        <v>105421008</v>
      </c>
      <c r="R113" s="118" t="str">
        <f>IF(C113="","",VLOOKUP(C113,vand_snom,3,FALSE))</f>
        <v/>
      </c>
      <c r="S113" s="118" t="str">
        <f>IF(R113="","",VLOOKUP(R113,snomed,3,FALSE))</f>
        <v/>
      </c>
    </row>
    <row r="114" spans="1:19">
      <c r="A114" s="26" t="s">
        <v>197</v>
      </c>
      <c r="B114" s="30" t="s">
        <v>40</v>
      </c>
      <c r="P114" t="str">
        <f>VLOOKUP(A114,snomed2,2,FALSE)</f>
        <v>relevant information</v>
      </c>
      <c r="Q114" t="str">
        <f>VLOOKUP(A114,snomed2,3,FALSE)</f>
        <v>398005008</v>
      </c>
      <c r="R114" s="117"/>
    </row>
    <row r="115" spans="1:19">
      <c r="A115" s="26" t="s">
        <v>198</v>
      </c>
      <c r="B115" s="30" t="s">
        <v>49</v>
      </c>
      <c r="P115" t="str">
        <f>VLOOKUP(A115,snomed2,2,FALSE)</f>
        <v>oplysning om beskæftigelse</v>
      </c>
      <c r="Q115" t="str">
        <f>VLOOKUP(A115,snomed2,3,FALSE)</f>
        <v>364703007</v>
      </c>
      <c r="R115" s="118" t="str">
        <f>IF(C115="","",VLOOKUP(C115,vand_snom,3,FALSE))</f>
        <v/>
      </c>
      <c r="S115" s="118" t="str">
        <f>IF(R115="","",VLOOKUP(R115,snomed,3,FALSE))</f>
        <v/>
      </c>
    </row>
    <row r="116" spans="1:19">
      <c r="A116" s="26" t="s">
        <v>199</v>
      </c>
      <c r="B116" s="30" t="s">
        <v>40</v>
      </c>
      <c r="P116" t="str">
        <f>VLOOKUP(A116,snomed2,2,FALSE)</f>
        <v>relevant information</v>
      </c>
      <c r="Q116" t="str">
        <f>VLOOKUP(A116,snomed2,3,FALSE)</f>
        <v>398005008</v>
      </c>
      <c r="R116" s="117"/>
    </row>
    <row r="117" spans="1:19">
      <c r="A117" s="26" t="s">
        <v>200</v>
      </c>
      <c r="B117" s="30" t="s">
        <v>49</v>
      </c>
      <c r="P117" t="str">
        <f>VLOOKUP(A117,snomed2,2,FALSE)</f>
        <v>status for modtagelse af ydelse</v>
      </c>
      <c r="Q117" t="str">
        <f>VLOOKUP(A117,snomed2,3,FALSE)</f>
        <v>228163007</v>
      </c>
      <c r="R117" s="118" t="str">
        <f>IF(C117="","",VLOOKUP(C117,vand_snom,3,FALSE))</f>
        <v/>
      </c>
      <c r="S117" s="118" t="str">
        <f>IF(R117="","",VLOOKUP(R117,snomed,3,FALSE))</f>
        <v/>
      </c>
    </row>
    <row r="118" spans="1:19">
      <c r="A118" s="25" t="s">
        <v>201</v>
      </c>
      <c r="R118" s="117"/>
    </row>
    <row r="119" spans="1:19">
      <c r="A119" s="26" t="s">
        <v>203</v>
      </c>
      <c r="B119" s="30" t="s">
        <v>34</v>
      </c>
      <c r="P119" t="str">
        <f>VLOOKUP(A119,snomed2,2,FALSE)</f>
        <v>røg før bekræftet graviditet</v>
      </c>
      <c r="Q119" t="str">
        <f>VLOOKUP(A119,snomed2,3,FALSE)</f>
        <v>449345000</v>
      </c>
      <c r="R119" s="118" t="str">
        <f>IF(C119="","",VLOOKUP(C119,vand_snom,3,FALSE))</f>
        <v/>
      </c>
      <c r="S119" s="118" t="str">
        <f>IF(R119="","",VLOOKUP(R119,snomed,3,FALSE))</f>
        <v/>
      </c>
    </row>
    <row r="120" spans="1:19">
      <c r="A120" s="26" t="s">
        <v>206</v>
      </c>
      <c r="B120" s="30" t="s">
        <v>49</v>
      </c>
      <c r="P120" t="str">
        <f>VLOOKUP(A120,snomed2,2,FALSE)</f>
        <v>moders forbrug af røgtobak under graviditet</v>
      </c>
      <c r="Q120" t="str">
        <f>VLOOKUP(A120,snomed2,3,FALSE)</f>
        <v>598171000005102</v>
      </c>
      <c r="R120" s="118" t="str">
        <f>IF(C120="","",VLOOKUP(C120,vand_snom,3,FALSE))</f>
        <v/>
      </c>
      <c r="S120" s="118" t="str">
        <f>IF(R120="","",VLOOKUP(R120,snomed,3,FALSE))</f>
        <v/>
      </c>
    </row>
    <row r="121" spans="1:19">
      <c r="A121" s="26" t="s">
        <v>209</v>
      </c>
      <c r="B121" s="30" t="s">
        <v>28</v>
      </c>
      <c r="P121" t="str">
        <f>VLOOKUP(A121,snomed2,2,FALSE)</f>
        <v>dato for rygeophør</v>
      </c>
      <c r="Q121" t="str">
        <f>VLOOKUP(A121,snomed2,3,FALSE)</f>
        <v>160625004</v>
      </c>
      <c r="R121" s="117"/>
    </row>
    <row r="122" spans="1:19">
      <c r="A122" s="26" t="s">
        <v>212</v>
      </c>
      <c r="B122" s="30" t="s">
        <v>34</v>
      </c>
      <c r="P122" t="str">
        <f>VLOOKUP(A122,snomed2,2,FALSE)</f>
        <v>udsat for tobaksrøg i hjemmet</v>
      </c>
      <c r="Q122" t="str">
        <f>VLOOKUP(A122,snomed2,3,FALSE)</f>
        <v>228524006</v>
      </c>
      <c r="R122" s="118" t="str">
        <f>IF(C122="","",VLOOKUP(C122,vand_snom,3,FALSE))</f>
        <v/>
      </c>
      <c r="S122" s="118" t="str">
        <f>IF(R122="","",VLOOKUP(R122,snomed,3,FALSE))</f>
        <v/>
      </c>
    </row>
    <row r="123" spans="1:19">
      <c r="A123" s="26" t="s">
        <v>215</v>
      </c>
      <c r="B123" s="30" t="s">
        <v>34</v>
      </c>
      <c r="P123" t="str">
        <f>VLOOKUP(A123,snomed2,2,FALSE)</f>
        <v>udsat for tobaksrøg på jobbet</v>
      </c>
      <c r="Q123" t="str">
        <f>VLOOKUP(A123,snomed2,3,FALSE)</f>
        <v>228523000</v>
      </c>
      <c r="R123" s="118" t="str">
        <f>IF(C123="","",VLOOKUP(C123,vand_snom,3,FALSE))</f>
        <v/>
      </c>
      <c r="S123" s="118" t="str">
        <f>IF(R123="","",VLOOKUP(R123,snomed,3,FALSE))</f>
        <v/>
      </c>
    </row>
    <row r="124" spans="1:19">
      <c r="A124" s="26" t="s">
        <v>218</v>
      </c>
      <c r="B124" s="30" t="s">
        <v>49</v>
      </c>
      <c r="P124" t="str">
        <f>VLOOKUP(A124,snomed2,2,FALSE)</f>
        <v>henvisning til rygestopklinik</v>
      </c>
      <c r="Q124" t="str">
        <f>VLOOKUP(A124,snomed2,3,FALSE)</f>
        <v>315232003</v>
      </c>
      <c r="R124" s="118" t="str">
        <f>IF(C124="","",VLOOKUP(C124,m_htton,3,FALSE))</f>
        <v/>
      </c>
      <c r="S124" s="118" t="str">
        <f>IF(R124="","",VLOOKUP(R124,snomed,3,FALSE))</f>
        <v/>
      </c>
    </row>
    <row r="125" spans="1:19">
      <c r="A125" s="26" t="s">
        <v>221</v>
      </c>
      <c r="B125" s="30" t="s">
        <v>34</v>
      </c>
      <c r="P125" t="str">
        <f>VLOOKUP(A125,snomed2,2,FALSE)</f>
        <v>bruger af nicotin før bekræftet graviditet</v>
      </c>
      <c r="Q125" t="str">
        <f>VLOOKUP(A125,snomed2,3,FALSE)</f>
        <v>598091000005102</v>
      </c>
      <c r="R125" s="118" t="str">
        <f>IF(C125="","",VLOOKUP(C125,vand_snom,3,FALSE))</f>
        <v/>
      </c>
      <c r="S125" s="118" t="str">
        <f>IF(R125="","",VLOOKUP(R125,snomed,3,FALSE))</f>
        <v/>
      </c>
    </row>
    <row r="126" spans="1:19">
      <c r="A126" s="26" t="s">
        <v>224</v>
      </c>
      <c r="B126" s="30" t="s">
        <v>49</v>
      </c>
      <c r="P126" t="str">
        <f>VLOOKUP(A126,snomed2,2,FALSE)</f>
        <v>bruger af nicotin under graviditet</v>
      </c>
      <c r="Q126" t="str">
        <f>VLOOKUP(A126,snomed2,3,FALSE)</f>
        <v>598221000005106</v>
      </c>
      <c r="R126" s="118" t="str">
        <f>IF(C126="","",VLOOKUP(C126,m_bruNit,3,FALSE))</f>
        <v/>
      </c>
      <c r="S126" s="118" t="str">
        <f>IF(R126="","",VLOOKUP(R126,snomed,3,FALSE))</f>
        <v/>
      </c>
    </row>
    <row r="127" spans="1:19">
      <c r="A127" s="26" t="s">
        <v>227</v>
      </c>
      <c r="B127" s="30" t="s">
        <v>28</v>
      </c>
      <c r="P127" t="str">
        <f>VLOOKUP(A127,snomed2,2,FALSE)</f>
        <v>dato for ophør med brug af nicotin</v>
      </c>
      <c r="Q127" t="str">
        <f>VLOOKUP(A127,snomed2,3,FALSE)</f>
        <v>598261000005102</v>
      </c>
      <c r="R127" s="117"/>
    </row>
    <row r="128" spans="1:19">
      <c r="A128" s="25" t="s">
        <v>230</v>
      </c>
      <c r="P128" t="str">
        <f>VLOOKUP(A128,snomed2,2,FALSE)</f>
        <v>adfærd i relation til brug af stof</v>
      </c>
      <c r="Q128" t="str">
        <f>VLOOKUP(A128,snomed2,3,FALSE)</f>
        <v>1187057000</v>
      </c>
      <c r="R128" s="117"/>
    </row>
    <row r="129" spans="1:19">
      <c r="A129" s="26" t="s">
        <v>233</v>
      </c>
      <c r="B129" s="30" t="s">
        <v>34</v>
      </c>
      <c r="P129" t="str">
        <f>VLOOKUP(A129,snomed2,2,FALSE)</f>
        <v>nikotinpose</v>
      </c>
      <c r="Q129" t="str">
        <f>VLOOKUP(A129,snomed2,3,FALSE)</f>
        <v>598111000005109</v>
      </c>
      <c r="R129" s="118" t="str">
        <f>IF(C129="","",VLOOKUP(C129,vand_snom,3,FALSE))</f>
        <v/>
      </c>
      <c r="S129" s="118" t="str">
        <f>IF(R129="","",VLOOKUP(R129,snomed,3,FALSE))</f>
        <v/>
      </c>
    </row>
    <row r="130" spans="1:19">
      <c r="A130" s="26" t="s">
        <v>236</v>
      </c>
      <c r="B130" s="30" t="s">
        <v>43</v>
      </c>
      <c r="P130" t="str">
        <f>VLOOKUP(A130,snomed2,2,FALSE)</f>
        <v>E/dag</v>
      </c>
      <c r="Q130" t="str">
        <f>VLOOKUP(A130,snomed2,3,FALSE)</f>
        <v>258950000</v>
      </c>
      <c r="R130" s="117"/>
    </row>
    <row r="131" spans="1:19">
      <c r="A131" s="26" t="s">
        <v>239</v>
      </c>
      <c r="B131" s="30" t="s">
        <v>34</v>
      </c>
      <c r="P131" t="str">
        <f>VLOOKUP(A131,snomed2,2,FALSE)</f>
        <v>nikotintyggegummi</v>
      </c>
      <c r="Q131" t="str">
        <f>VLOOKUP(A131,snomed2,3,FALSE)</f>
        <v>598101000005106</v>
      </c>
      <c r="R131" s="118" t="str">
        <f>IF(C131="","",VLOOKUP(C131,vand_snom,3,FALSE))</f>
        <v/>
      </c>
      <c r="S131" s="118" t="str">
        <f>IF(R131="","",VLOOKUP(R131,snomed,3,FALSE))</f>
        <v/>
      </c>
    </row>
    <row r="132" spans="1:19">
      <c r="A132" s="26" t="s">
        <v>242</v>
      </c>
      <c r="B132" s="30" t="s">
        <v>70</v>
      </c>
      <c r="P132" t="str">
        <f>VLOOKUP(A132,snomed2,2,FALSE)</f>
        <v>E/dag</v>
      </c>
      <c r="Q132" t="str">
        <f>VLOOKUP(A132,snomed2,3,FALSE)</f>
        <v>258950000</v>
      </c>
      <c r="R132" s="117"/>
    </row>
    <row r="133" spans="1:19">
      <c r="A133" s="26" t="s">
        <v>245</v>
      </c>
      <c r="B133" s="30" t="s">
        <v>34</v>
      </c>
      <c r="P133" t="str">
        <f>VLOOKUP(A133,snomed2,2,FALSE)</f>
        <v>elektronisk cigaret</v>
      </c>
      <c r="Q133" t="str">
        <f>VLOOKUP(A133,snomed2,3,FALSE)</f>
        <v>722498003</v>
      </c>
      <c r="R133" s="118" t="str">
        <f>IF(C133="","",VLOOKUP(C133,vand_snom,3,FALSE))</f>
        <v/>
      </c>
      <c r="S133" s="118" t="str">
        <f>IF(R133="","",VLOOKUP(R133,snomed,3,FALSE))</f>
        <v/>
      </c>
    </row>
    <row r="134" spans="1:19">
      <c r="A134" s="26" t="s">
        <v>248</v>
      </c>
      <c r="B134" s="30" t="s">
        <v>43</v>
      </c>
      <c r="P134" t="str">
        <f>VLOOKUP(A134,snomed2,2,FALSE)</f>
        <v>ml/dag</v>
      </c>
      <c r="Q134" t="str">
        <f>VLOOKUP(A134,snomed2,3,FALSE)</f>
        <v>258860005</v>
      </c>
      <c r="R134" s="117"/>
    </row>
    <row r="135" spans="1:19">
      <c r="A135" s="26" t="s">
        <v>249</v>
      </c>
      <c r="B135" s="30" t="s">
        <v>34</v>
      </c>
      <c r="P135" t="str">
        <f>VLOOKUP(A135,snomed2,2,FALSE)</f>
        <v>tyggetobak</v>
      </c>
      <c r="Q135" t="str">
        <f>VLOOKUP(A135,snomed2,3,FALSE)</f>
        <v>81911001</v>
      </c>
      <c r="R135" s="118" t="str">
        <f>IF(C135="","",VLOOKUP(C135,vand_snom,3,FALSE))</f>
        <v/>
      </c>
      <c r="S135" s="118" t="str">
        <f>IF(R135="","",VLOOKUP(R135,snomed,3,FALSE))</f>
        <v/>
      </c>
    </row>
    <row r="136" spans="1:19">
      <c r="A136" s="26" t="s">
        <v>250</v>
      </c>
      <c r="B136" s="30" t="s">
        <v>70</v>
      </c>
      <c r="P136" t="str">
        <f>VLOOKUP(A136,snomed2,2,FALSE)</f>
        <v>E/dag</v>
      </c>
      <c r="Q136" t="str">
        <f>VLOOKUP(A136,snomed2,3,FALSE)</f>
        <v>258950000</v>
      </c>
      <c r="R136" s="117"/>
    </row>
    <row r="137" spans="1:19">
      <c r="A137" s="26" t="s">
        <v>251</v>
      </c>
      <c r="B137" s="30" t="s">
        <v>34</v>
      </c>
      <c r="R137" s="118" t="str">
        <f>IF(C137="","",VLOOKUP(C137,vand_snom,3,FALSE))</f>
        <v/>
      </c>
      <c r="S137" s="118" t="str">
        <f>IF(R137="","",VLOOKUP(R137,snomed,3,FALSE))</f>
        <v/>
      </c>
    </row>
    <row r="138" spans="1:19">
      <c r="A138" s="26" t="s">
        <v>252</v>
      </c>
      <c r="B138" s="30" t="s">
        <v>49</v>
      </c>
      <c r="P138" t="str">
        <f>VLOOKUP(A138,snomed2,2,FALSE)</f>
        <v>vandpibe</v>
      </c>
      <c r="Q138" t="str">
        <f>VLOOKUP(A138,snomed2,3,FALSE)</f>
        <v>722495000</v>
      </c>
      <c r="R138" s="118" t="str">
        <f>IF(C138="","",VLOOKUP(C138,m_vandpibe,3,FALSE))</f>
        <v/>
      </c>
      <c r="S138" s="118" t="str">
        <f>IF(R138="","",VLOOKUP(R138,snomed,3,FALSE))</f>
        <v/>
      </c>
    </row>
    <row r="139" spans="1:19">
      <c r="A139" s="26" t="s">
        <v>253</v>
      </c>
      <c r="B139" s="30" t="s">
        <v>76</v>
      </c>
      <c r="P139" t="str">
        <f>VLOOKUP(A139,snomed2,2,FALSE)</f>
        <v>eksponering for potentielt skadeligt emne</v>
      </c>
      <c r="Q139" t="str">
        <f>VLOOKUP(A139,snomed2,3,FALSE)</f>
        <v>418715001</v>
      </c>
      <c r="R139" s="117"/>
    </row>
    <row r="140" spans="1:19">
      <c r="A140" s="25" t="s">
        <v>254</v>
      </c>
      <c r="P140" t="str">
        <f>VLOOKUP(A140,snomed2,2,FALSE)</f>
        <v>detaljer vedr. adfærd ifm. indtag af alkohol</v>
      </c>
      <c r="Q140" t="str">
        <f>VLOOKUP(A140,snomed2,3,FALSE)</f>
        <v>363905002</v>
      </c>
      <c r="R140" s="117"/>
    </row>
    <row r="141" spans="1:19">
      <c r="A141" s="26" t="s">
        <v>255</v>
      </c>
      <c r="B141" s="30" t="s">
        <v>34</v>
      </c>
      <c r="P141" t="str">
        <f>VLOOKUP(A141,snomed2,2,FALSE)</f>
        <v>bruger af alkohol før bekræftet graviditet</v>
      </c>
      <c r="Q141" t="str">
        <f>VLOOKUP(A141,snomed2,3,FALSE)</f>
        <v>568171000005100</v>
      </c>
      <c r="R141" s="118" t="str">
        <f>IF(C141="","",VLOOKUP(C141,vand_snom,3,FALSE))</f>
        <v/>
      </c>
      <c r="S141" s="118" t="str">
        <f>IF(R141="","",VLOOKUP(R141,snomed,3,FALSE))</f>
        <v/>
      </c>
    </row>
    <row r="142" spans="1:19">
      <c r="A142" s="26" t="s">
        <v>256</v>
      </c>
      <c r="B142" s="30" t="s">
        <v>43</v>
      </c>
      <c r="P142" t="str">
        <f>VLOOKUP(A142,snomed2,2,FALSE)</f>
        <v>alkoholgenstande/uge</v>
      </c>
      <c r="Q142" t="str">
        <f>VLOOKUP(A142,snomed2,3,FALSE)</f>
        <v>228958009</v>
      </c>
      <c r="R142" s="117"/>
    </row>
    <row r="143" spans="1:19">
      <c r="A143" s="26" t="s">
        <v>257</v>
      </c>
      <c r="B143" s="30" t="s">
        <v>34</v>
      </c>
      <c r="P143" t="str">
        <f>VLOOKUP(A143,snomed2,2,FALSE)</f>
        <v>alkoholindtag under graviditet</v>
      </c>
      <c r="Q143" t="str">
        <f>VLOOKUP(A143,snomed2,3,FALSE)</f>
        <v>427013000</v>
      </c>
      <c r="R143" s="118" t="str">
        <f>IF(C143="","",VLOOKUP(C143,vand_snom,3,FALSE))</f>
        <v/>
      </c>
      <c r="S143" s="118" t="str">
        <f>IF(R143="","",VLOOKUP(R143,snomed,3,FALSE))</f>
        <v/>
      </c>
    </row>
    <row r="144" spans="1:19">
      <c r="A144" s="26" t="s">
        <v>258</v>
      </c>
      <c r="B144" s="30" t="s">
        <v>70</v>
      </c>
      <c r="P144" t="str">
        <f>VLOOKUP(A144,snomed2,2,FALSE)</f>
        <v>alkoholgenstande/uge</v>
      </c>
      <c r="Q144" t="str">
        <f>VLOOKUP(A144,snomed2,3,FALSE)</f>
        <v>228958009</v>
      </c>
      <c r="R144" s="117"/>
    </row>
    <row r="145" spans="1:19">
      <c r="A145" s="26" t="s">
        <v>259</v>
      </c>
      <c r="B145" s="30" t="s">
        <v>70</v>
      </c>
      <c r="P145" t="str">
        <f>VLOOKUP(A145,snomed2,2,FALSE)</f>
        <v>binge-drinking</v>
      </c>
      <c r="Q145" t="str">
        <f>VLOOKUP(A145,snomed2,3,FALSE)</f>
        <v>228326007</v>
      </c>
      <c r="R145" s="117"/>
    </row>
    <row r="146" spans="1:19">
      <c r="A146" s="26" t="s">
        <v>260</v>
      </c>
      <c r="B146" s="30" t="s">
        <v>76</v>
      </c>
      <c r="P146" t="str">
        <f>VLOOKUP(A146,snomed2,2,FALSE)</f>
        <v>graviditetsuge</v>
      </c>
      <c r="Q146" t="str">
        <f>VLOOKUP(A146,snomed2,3,FALSE)</f>
        <v>598141000005108</v>
      </c>
      <c r="R146" s="117"/>
    </row>
    <row r="147" spans="1:19">
      <c r="A147" s="26" t="s">
        <v>261</v>
      </c>
      <c r="B147" s="30" t="s">
        <v>49</v>
      </c>
      <c r="P147" t="str">
        <f>VLOOKUP(A147,snomed2,2,FALSE)</f>
        <v>TWEAK-score</v>
      </c>
      <c r="Q147" t="str">
        <f>VLOOKUP(A147,snomed2,3,FALSE)</f>
        <v>568251000005102</v>
      </c>
      <c r="R147" s="117"/>
    </row>
    <row r="148" spans="1:19">
      <c r="A148" s="25" t="s">
        <v>262</v>
      </c>
      <c r="P148" t="str">
        <f>VLOOKUP(A148,snomed2,2,FALSE)</f>
        <v>detaljer vedr. adfærd i relation til brug af stof</v>
      </c>
      <c r="Q148" t="str">
        <f>VLOOKUP(A148,snomed2,3,FALSE)</f>
        <v>363908000</v>
      </c>
      <c r="R148" s="117"/>
    </row>
    <row r="149" spans="1:19" ht="29.25">
      <c r="A149" s="27" t="s">
        <v>263</v>
      </c>
      <c r="B149" s="30" t="s">
        <v>34</v>
      </c>
      <c r="P149" t="str">
        <f>VLOOKUP(A149,snomed2,2,FALSE)</f>
        <v>træk vedr. stof</v>
      </c>
      <c r="Q149" t="str">
        <f>VLOOKUP(A149,snomed2,3,FALSE)</f>
        <v>361055000</v>
      </c>
      <c r="R149" s="118" t="str">
        <f>IF(C149="","",VLOOKUP(C149,vand_snom,3,FALSE))</f>
        <v/>
      </c>
      <c r="S149" s="118" t="str">
        <f>IF(R149="","",VLOOKUP(R149,snomed,3,FALSE))</f>
        <v/>
      </c>
    </row>
    <row r="150" spans="1:19">
      <c r="A150" s="26" t="s">
        <v>264</v>
      </c>
      <c r="B150" s="30" t="s">
        <v>74</v>
      </c>
      <c r="C150" s="1" t="s">
        <v>265</v>
      </c>
      <c r="D150" s="1"/>
      <c r="P150" t="str">
        <f>VLOOKUP(A150,snomed2,2,FALSE)</f>
        <v>træk vedr. stof</v>
      </c>
      <c r="Q150" t="str">
        <f>VLOOKUP(A150,snomed2,3,FALSE)</f>
        <v>373063009</v>
      </c>
      <c r="R150" s="117"/>
    </row>
    <row r="151" spans="1:19">
      <c r="A151" s="26" t="s">
        <v>266</v>
      </c>
      <c r="D151" t="str">
        <f>IF(C151="","",VLOOKUP(C151,RM_kat,2,FALSE))</f>
        <v/>
      </c>
      <c r="R151" s="118" t="str">
        <f>IF(C151="","",VLOOKUP(C151,vand_snom,3,FALSE))</f>
        <v/>
      </c>
      <c r="S151" s="118" t="str">
        <f>IF(R151="","",VLOOKUP(R151,snomed,3,FALSE))</f>
        <v/>
      </c>
    </row>
    <row r="152" spans="1:19">
      <c r="A152" s="26" t="s">
        <v>266</v>
      </c>
      <c r="D152" t="str">
        <f>IF(C152="","",VLOOKUP(C152,RM_kat,2,FALSE))</f>
        <v/>
      </c>
      <c r="R152" s="118" t="str">
        <f>IF(C152="","",VLOOKUP(C152,vand_snom,3,FALSE))</f>
        <v/>
      </c>
      <c r="S152" s="118" t="str">
        <f>IF(R152="","",VLOOKUP(R152,snomed,3,FALSE))</f>
        <v/>
      </c>
    </row>
    <row r="153" spans="1:19">
      <c r="A153" s="26" t="s">
        <v>266</v>
      </c>
      <c r="D153" t="str">
        <f>IF(C153="","",VLOOKUP(C153,RM_kat,2,FALSE))</f>
        <v/>
      </c>
      <c r="R153" s="118" t="str">
        <f>IF(C153="","",VLOOKUP(C153,vand_snom,3,FALSE))</f>
        <v/>
      </c>
      <c r="S153" s="118" t="str">
        <f>IF(R153="","",VLOOKUP(R153,snomed,3,FALSE))</f>
        <v/>
      </c>
    </row>
    <row r="154" spans="1:19">
      <c r="A154" s="26" t="s">
        <v>266</v>
      </c>
      <c r="D154" t="str">
        <f>IF(C154="","",VLOOKUP(C154,RM_kat,2,FALSE))</f>
        <v/>
      </c>
      <c r="R154" s="118" t="str">
        <f>IF(C154="","",VLOOKUP(C154,vand_snom,3,FALSE))</f>
        <v/>
      </c>
      <c r="S154" s="118" t="str">
        <f>IF(R154="","",VLOOKUP(R154,snomed,3,FALSE))</f>
        <v/>
      </c>
    </row>
    <row r="155" spans="1:19">
      <c r="A155" s="26" t="s">
        <v>266</v>
      </c>
      <c r="R155" s="118" t="str">
        <f>IF(C155="","",VLOOKUP(C155,vand_snom,3,FALSE))</f>
        <v/>
      </c>
      <c r="S155" s="118" t="str">
        <f>IF(R155="","",VLOOKUP(R155,snomed,3,FALSE))</f>
        <v/>
      </c>
    </row>
    <row r="156" spans="1:19">
      <c r="A156" s="25" t="s">
        <v>267</v>
      </c>
      <c r="R156" s="117"/>
    </row>
    <row r="157" spans="1:19">
      <c r="A157" s="26" t="s">
        <v>268</v>
      </c>
      <c r="B157" s="30" t="s">
        <v>76</v>
      </c>
      <c r="P157" t="str">
        <f>VLOOKUP(A157,snomed2,2,FALSE)</f>
        <v>træk vedr. ernæring</v>
      </c>
      <c r="Q157" t="str">
        <f>VLOOKUP(A157,snomed2,3,FALSE)</f>
        <v>364393001</v>
      </c>
      <c r="R157" s="117"/>
    </row>
    <row r="158" spans="1:19">
      <c r="A158" s="26" t="s">
        <v>269</v>
      </c>
      <c r="B158" s="30" t="s">
        <v>76</v>
      </c>
      <c r="P158" t="str">
        <f>VLOOKUP(A158,snomed2,2,FALSE)</f>
        <v>træning</v>
      </c>
      <c r="Q158" t="str">
        <f>VLOOKUP(A158,snomed2,3,FALSE)</f>
        <v>256235009</v>
      </c>
      <c r="R158" s="117"/>
    </row>
    <row r="159" spans="1:19">
      <c r="A159" s="25" t="s">
        <v>270</v>
      </c>
      <c r="P159" t="str">
        <f>VLOOKUP(A159,snomed2,2,FALSE)</f>
        <v>oplysninger om partner</v>
      </c>
      <c r="Q159" t="str">
        <f>VLOOKUP(A159,snomed2,3,FALSE)</f>
        <v>648091000005104</v>
      </c>
      <c r="R159" s="117"/>
    </row>
    <row r="160" spans="1:19">
      <c r="A160" s="26" t="s">
        <v>271</v>
      </c>
      <c r="B160" s="30" t="s">
        <v>49</v>
      </c>
      <c r="P160" t="str">
        <f>VLOOKUP(A160,snomed2,2,FALSE)</f>
        <v>partners beskæftigelse</v>
      </c>
      <c r="Q160" t="str">
        <f>VLOOKUP(A160,snomed2,3,FALSE)</f>
        <v>1252646008</v>
      </c>
      <c r="R160" s="118" t="str">
        <f>IF(C160="","",VLOOKUP(C160,vand_snom,3,FALSE))</f>
        <v/>
      </c>
      <c r="S160" s="118" t="str">
        <f>IF(R160="","",VLOOKUP(R160,snomed,3,FALSE))</f>
        <v/>
      </c>
    </row>
    <row r="161" spans="1:19">
      <c r="A161" s="26" t="s">
        <v>272</v>
      </c>
      <c r="B161" s="30" t="s">
        <v>34</v>
      </c>
      <c r="P161" t="str">
        <f>VLOOKUP(A161,snomed2,2,FALSE)</f>
        <v>partner har udfordringer med fysisk helbred</v>
      </c>
      <c r="Q161" t="str">
        <f>VLOOKUP(A161,snomed2,3,FALSE)</f>
        <v>608001000005102</v>
      </c>
      <c r="R161" s="118" t="str">
        <f>IF(C161="","",VLOOKUP(C161,vand_snom,3,FALSE))</f>
        <v/>
      </c>
      <c r="S161" s="118" t="str">
        <f>IF(R161="","",VLOOKUP(R161,snomed,3,FALSE))</f>
        <v/>
      </c>
    </row>
    <row r="162" spans="1:19">
      <c r="A162" s="26" t="s">
        <v>273</v>
      </c>
      <c r="B162" s="30" t="s">
        <v>34</v>
      </c>
      <c r="P162" t="str">
        <f>VLOOKUP(A162,snomed2,2,FALSE)</f>
        <v>partner har udfordringer med psykisk helbred</v>
      </c>
      <c r="Q162" t="str">
        <f>VLOOKUP(A162,snomed2,3,FALSE)</f>
        <v>608011000005104</v>
      </c>
      <c r="R162" s="118" t="str">
        <f>IF(C162="","",VLOOKUP(C162,vand_snom,3,FALSE))</f>
        <v/>
      </c>
      <c r="S162" s="118" t="str">
        <f>IF(R162="","",VLOOKUP(R162,snomed,3,FALSE))</f>
        <v/>
      </c>
    </row>
    <row r="163" spans="1:19">
      <c r="A163" s="26" t="s">
        <v>274</v>
      </c>
      <c r="B163" s="30" t="s">
        <v>34</v>
      </c>
      <c r="P163" t="str">
        <f>VLOOKUP(A163,snomed2,2,FALSE)</f>
        <v>partner har problematisk alkoholforbrug</v>
      </c>
      <c r="Q163" t="str">
        <f>VLOOKUP(A163,snomed2,3,FALSE)</f>
        <v>648041000005106</v>
      </c>
      <c r="R163" s="118" t="str">
        <f>IF(C163="","",VLOOKUP(C163,vand_snom,3,FALSE))</f>
        <v/>
      </c>
      <c r="S163" s="118" t="str">
        <f>IF(R163="","",VLOOKUP(R163,snomed,3,FALSE))</f>
        <v/>
      </c>
    </row>
    <row r="164" spans="1:19">
      <c r="A164" s="26" t="s">
        <v>275</v>
      </c>
      <c r="B164" s="30" t="s">
        <v>34</v>
      </c>
      <c r="P164" t="str">
        <f>VLOOKUP(A164,snomed2,2,FALSE)</f>
        <v>partner har skadeligt brug af rusmidler</v>
      </c>
      <c r="Q164" t="str">
        <f>VLOOKUP(A164,snomed2,3,FALSE)</f>
        <v>608031000005108</v>
      </c>
      <c r="R164" s="118" t="str">
        <f>IF(C164="","",VLOOKUP(C164,vand_snom,3,FALSE))</f>
        <v/>
      </c>
      <c r="S164" s="118" t="str">
        <f>IF(R164="","",VLOOKUP(R164,snomed,3,FALSE))</f>
        <v/>
      </c>
    </row>
    <row r="165" spans="1:19">
      <c r="A165" s="26" t="s">
        <v>276</v>
      </c>
      <c r="B165" s="30" t="s">
        <v>34</v>
      </c>
      <c r="P165" t="str">
        <f>VLOOKUP(A165,snomed2,2,FALSE)</f>
        <v>partner har socialt problem</v>
      </c>
      <c r="Q165" t="str">
        <f>VLOOKUP(A165,snomed2,3,FALSE)</f>
        <v>608041000005100</v>
      </c>
      <c r="R165" s="118" t="str">
        <f>IF(C165="","",VLOOKUP(C165,vand_snom,3,FALSE))</f>
        <v/>
      </c>
      <c r="S165" s="118" t="str">
        <f>IF(R165="","",VLOOKUP(R165,snomed,3,FALSE))</f>
        <v/>
      </c>
    </row>
    <row r="166" spans="1:19">
      <c r="A166" s="26" t="s">
        <v>277</v>
      </c>
      <c r="B166" s="30" t="s">
        <v>76</v>
      </c>
      <c r="P166" t="str">
        <f>VLOOKUP(A166,snomed2,2,FALSE)</f>
        <v>relevant information</v>
      </c>
      <c r="Q166" t="str">
        <f>VLOOKUP(A166,snomed2,3,FALSE)</f>
        <v>398005008</v>
      </c>
      <c r="R166" s="117"/>
    </row>
    <row r="167" spans="1:19">
      <c r="A167" s="25" t="s">
        <v>278</v>
      </c>
      <c r="R167" s="117"/>
    </row>
    <row r="168" spans="1:19">
      <c r="A168" s="26" t="s">
        <v>279</v>
      </c>
      <c r="B168" s="30" t="s">
        <v>76</v>
      </c>
      <c r="P168" t="str">
        <f>VLOOKUP(A168,snomed2,2,FALSE)</f>
        <v>ønsket fødested</v>
      </c>
      <c r="Q168" t="str">
        <f>VLOOKUP(A168,snomed2,3,FALSE)</f>
        <v>648021000005101</v>
      </c>
      <c r="R168" s="117"/>
    </row>
    <row r="169" spans="1:19">
      <c r="A169" s="26" t="s">
        <v>280</v>
      </c>
      <c r="B169" s="30" t="s">
        <v>34</v>
      </c>
      <c r="P169" t="str">
        <f>VLOOKUP(A169,snomed2,2,FALSE)</f>
        <v>hjemmefødsel ønsket</v>
      </c>
      <c r="Q169" t="str">
        <f>VLOOKUP(A169,snomed2,3,FALSE)</f>
        <v>2903011000005100</v>
      </c>
      <c r="R169" s="118" t="str">
        <f>IF(C169="","",VLOOKUP(C169,vand_snom,3,FALSE))</f>
        <v/>
      </c>
      <c r="S169" s="118" t="str">
        <f>IF(R169="","",VLOOKUP(R169,snomed,3,FALSE))</f>
        <v/>
      </c>
    </row>
    <row r="170" spans="1:19">
      <c r="A170" s="26" t="s">
        <v>281</v>
      </c>
      <c r="B170" s="30" t="s">
        <v>76</v>
      </c>
      <c r="P170" t="str">
        <f>VLOOKUP(A170,snomed2,2,FALSE)</f>
        <v>planlagt fødested</v>
      </c>
      <c r="Q170" t="str">
        <f>VLOOKUP(A170,snomed2,3,FALSE)</f>
        <v>648011000005107</v>
      </c>
      <c r="R170" s="117"/>
    </row>
    <row r="171" spans="1:19">
      <c r="A171" s="28" t="s">
        <v>281</v>
      </c>
      <c r="P171" t="str">
        <f>VLOOKUP(A171,snomed2,2,FALSE)</f>
        <v>planlagt fødested</v>
      </c>
      <c r="Q171" t="str">
        <f>VLOOKUP(A171,snomed2,3,FALSE)</f>
        <v>648011000005107</v>
      </c>
      <c r="R171" s="117"/>
    </row>
    <row r="172" spans="1:19">
      <c r="A172" s="26" t="s">
        <v>282</v>
      </c>
      <c r="B172" s="30" t="s">
        <v>283</v>
      </c>
      <c r="R172" s="117"/>
    </row>
    <row r="173" spans="1:19">
      <c r="A173" s="26" t="s">
        <v>284</v>
      </c>
      <c r="B173" s="30" t="s">
        <v>283</v>
      </c>
      <c r="R173" s="117"/>
    </row>
    <row r="174" spans="1:19">
      <c r="A174" s="28" t="s">
        <v>279</v>
      </c>
      <c r="P174" t="str">
        <f>VLOOKUP(A174,snomed2,2,FALSE)</f>
        <v>ønsket fødested</v>
      </c>
      <c r="Q174" t="str">
        <f>VLOOKUP(A174,snomed2,3,FALSE)</f>
        <v>648021000005101</v>
      </c>
      <c r="R174" s="117"/>
    </row>
    <row r="175" spans="1:19">
      <c r="A175" s="26" t="s">
        <v>282</v>
      </c>
      <c r="B175" s="30" t="s">
        <v>283</v>
      </c>
      <c r="R175" s="117"/>
    </row>
    <row r="176" spans="1:19">
      <c r="A176" s="26" t="s">
        <v>284</v>
      </c>
      <c r="B176" s="30" t="s">
        <v>283</v>
      </c>
      <c r="R176" s="117"/>
    </row>
    <row r="177" spans="1:19">
      <c r="A177" s="26" t="s">
        <v>285</v>
      </c>
      <c r="B177" s="30" t="s">
        <v>76</v>
      </c>
      <c r="P177" t="str">
        <f>VLOOKUP(A177,snomed2,2,FALSE)</f>
        <v>tildelt jordemoderklinik</v>
      </c>
      <c r="Q177" t="str">
        <f>VLOOKUP(A177,snomed2,3,FALSE)</f>
        <v>648081000005102</v>
      </c>
      <c r="R177" s="117"/>
    </row>
    <row r="178" spans="1:19">
      <c r="A178" s="26" t="s">
        <v>286</v>
      </c>
      <c r="B178" s="30" t="s">
        <v>76</v>
      </c>
      <c r="P178" t="str">
        <f>VLOOKUP(A178,snomed2,2,FALSE)</f>
        <v>ønsket jordemoderklinik</v>
      </c>
      <c r="Q178" t="str">
        <f>VLOOKUP(A178,snomed2,3,FALSE)</f>
        <v>648071000005100</v>
      </c>
      <c r="R178" s="117"/>
    </row>
    <row r="179" spans="1:19">
      <c r="A179" s="26" t="s">
        <v>287</v>
      </c>
      <c r="B179" s="30" t="s">
        <v>76</v>
      </c>
      <c r="P179" t="str">
        <f>VLOOKUP(A179,snomed2,2,FALSE)</f>
        <v>ønsket jordemoderklinik</v>
      </c>
      <c r="Q179" t="str">
        <f>VLOOKUP(A179,snomed2,3,FALSE)</f>
        <v>648071000005100</v>
      </c>
      <c r="R179" s="117"/>
    </row>
    <row r="180" spans="1:19">
      <c r="A180" s="26" t="s">
        <v>288</v>
      </c>
      <c r="B180" s="30" t="s">
        <v>289</v>
      </c>
      <c r="P180" t="str">
        <f>VLOOKUP(A180,snomed2,2,FALSE)</f>
        <v>ugedage</v>
      </c>
      <c r="Q180" t="str">
        <f>VLOOKUP(A180,snomed2,3,FALSE)</f>
        <v>307144000</v>
      </c>
      <c r="R180" s="118" t="str">
        <f>IF(C180="","",VLOOKUP(C180,vand_snom,3,FALSE))</f>
        <v/>
      </c>
      <c r="S180" s="118" t="str">
        <f>IF(R180="","",VLOOKUP(R180,snomed,3,FALSE))</f>
        <v/>
      </c>
    </row>
    <row r="181" spans="1:19">
      <c r="A181" s="26" t="s">
        <v>290</v>
      </c>
      <c r="B181" s="30" t="s">
        <v>34</v>
      </c>
      <c r="P181" t="str">
        <f>VLOOKUP(A181,snomed2,2,FALSE)</f>
        <v>fødselsforberedelse</v>
      </c>
      <c r="Q181" t="str">
        <f>VLOOKUP(A181,snomed2,3,FALSE)</f>
        <v>386235000</v>
      </c>
      <c r="R181" s="118" t="str">
        <f>IF(C181="","",VLOOKUP(C181,vand_snom,3,FALSE))</f>
        <v/>
      </c>
      <c r="S181" s="118" t="str">
        <f>IF(R181="","",VLOOKUP(R181,snomed,3,FALSE))</f>
        <v/>
      </c>
    </row>
    <row r="182" spans="1:19">
      <c r="A182" s="26" t="s">
        <v>291</v>
      </c>
      <c r="B182" s="30" t="s">
        <v>292</v>
      </c>
      <c r="P182" t="str">
        <f>VLOOKUP(A182,snomed2,2,FALSE)</f>
        <v>konsultation - handling</v>
      </c>
      <c r="Q182" t="str">
        <f>VLOOKUP(A182,snomed2,3,FALSE)</f>
        <v>129430004</v>
      </c>
      <c r="R182" s="118" t="str">
        <f>IF(C182="","",VLOOKUP(C182,vand_snom,3,FALSE))</f>
        <v/>
      </c>
      <c r="S182" s="118" t="str">
        <f>IF(R182="","",VLOOKUP(R182,snomed,3,FALSE))</f>
        <v/>
      </c>
    </row>
    <row r="183" spans="1:19">
      <c r="A183" s="28" t="s">
        <v>285</v>
      </c>
      <c r="P183" t="str">
        <f>VLOOKUP(A183,snomed2,2,FALSE)</f>
        <v>tildelt jordemoderklinik</v>
      </c>
      <c r="Q183" t="str">
        <f>VLOOKUP(A183,snomed2,3,FALSE)</f>
        <v>648081000005102</v>
      </c>
      <c r="R183" s="117"/>
    </row>
    <row r="184" spans="1:19">
      <c r="A184" s="26" t="s">
        <v>282</v>
      </c>
      <c r="B184" s="30" t="s">
        <v>283</v>
      </c>
      <c r="R184" s="117"/>
    </row>
    <row r="185" spans="1:19">
      <c r="A185" s="26" t="s">
        <v>284</v>
      </c>
      <c r="B185" s="30" t="s">
        <v>283</v>
      </c>
      <c r="R185" s="117"/>
    </row>
    <row r="186" spans="1:19">
      <c r="A186" s="28" t="s">
        <v>286</v>
      </c>
      <c r="P186" t="str">
        <f>VLOOKUP(A186,snomed2,2,FALSE)</f>
        <v>ønsket jordemoderklinik</v>
      </c>
      <c r="Q186" t="str">
        <f>VLOOKUP(A186,snomed2,3,FALSE)</f>
        <v>648071000005100</v>
      </c>
      <c r="R186" s="117"/>
    </row>
    <row r="187" spans="1:19">
      <c r="A187" s="26" t="s">
        <v>282</v>
      </c>
      <c r="B187" s="30" t="s">
        <v>283</v>
      </c>
      <c r="R187" s="117"/>
    </row>
    <row r="188" spans="1:19">
      <c r="A188" s="26" t="s">
        <v>284</v>
      </c>
      <c r="B188" s="30" t="s">
        <v>283</v>
      </c>
      <c r="R188" s="117"/>
    </row>
    <row r="189" spans="1:19">
      <c r="A189" s="28" t="s">
        <v>293</v>
      </c>
      <c r="P189" t="str">
        <f>VLOOKUP(A189,snomed2,2,FALSE)</f>
        <v>sundhedsplejen</v>
      </c>
      <c r="Q189" t="str">
        <f>VLOOKUP(A189,snomed2,3,FALSE)</f>
        <v>554021000005101</v>
      </c>
      <c r="R189" s="117"/>
    </row>
    <row r="190" spans="1:19">
      <c r="A190" s="26" t="s">
        <v>282</v>
      </c>
      <c r="B190" s="30" t="s">
        <v>283</v>
      </c>
      <c r="R190" s="117"/>
    </row>
    <row r="191" spans="1:19">
      <c r="A191" s="26" t="s">
        <v>284</v>
      </c>
      <c r="B191" s="30" t="s">
        <v>283</v>
      </c>
      <c r="R191" s="117"/>
    </row>
    <row r="192" spans="1:19">
      <c r="A192" s="25" t="s">
        <v>294</v>
      </c>
      <c r="P192" t="str">
        <f>VLOOKUP(A192,snomed2,2,FALSE)</f>
        <v>almen klinisk tilstand</v>
      </c>
      <c r="Q192" t="str">
        <f>VLOOKUP(A192,snomed2,3,FALSE)</f>
        <v>278844005</v>
      </c>
      <c r="R192" s="117"/>
    </row>
    <row r="193" spans="1:19">
      <c r="A193" s="26" t="s">
        <v>294</v>
      </c>
      <c r="B193" s="30" t="s">
        <v>40</v>
      </c>
      <c r="P193" t="str">
        <f>VLOOKUP(A193,snomed2,2,FALSE)</f>
        <v>almen klinisk tilstand</v>
      </c>
      <c r="Q193" t="str">
        <f>VLOOKUP(A193,snomed2,3,FALSE)</f>
        <v>278844005</v>
      </c>
      <c r="R193" s="117"/>
    </row>
    <row r="194" spans="1:19">
      <c r="A194" s="26" t="s">
        <v>295</v>
      </c>
      <c r="B194" s="30" t="s">
        <v>49</v>
      </c>
      <c r="P194" t="str">
        <f>VLOOKUP(A194,snomed2,2,FALSE)</f>
        <v>vurdering af helbredsmæssige og sociale behov</v>
      </c>
      <c r="Q194" t="str">
        <f>VLOOKUP(A194,snomed2,3,FALSE)</f>
        <v>710824005</v>
      </c>
      <c r="R194" s="118" t="str">
        <f>IF(C194="","",VLOOKUP(C194,m_omsorg,3,FALSE))</f>
        <v/>
      </c>
      <c r="S194" s="118" t="str">
        <f>IF(R194="","",VLOOKUP(R194,snomed,3,FALSE))</f>
        <v/>
      </c>
    </row>
    <row r="195" spans="1:19">
      <c r="A195" s="26" t="s">
        <v>296</v>
      </c>
      <c r="B195" s="30" t="s">
        <v>142</v>
      </c>
      <c r="P195" t="str">
        <f>VLOOKUP(A195,snomed2,2,FALSE)</f>
        <v>henvisning mhp. obstetrisk og gynækologisk behandling</v>
      </c>
      <c r="Q195" t="str">
        <f>VLOOKUP(A195,snomed2,3,FALSE)</f>
        <v>306133003</v>
      </c>
      <c r="R195" s="118" t="str">
        <f>IF(C195="","",VLOOKUP(C195,vand_snom,3,FALSE))</f>
        <v/>
      </c>
      <c r="S195" s="118" t="str">
        <f>IF(R195="","",VLOOKUP(R195,snomed,3,FALSE))</f>
        <v/>
      </c>
    </row>
    <row r="196" spans="1:19">
      <c r="A196" s="26" t="s">
        <v>297</v>
      </c>
      <c r="B196" s="30" t="s">
        <v>76</v>
      </c>
      <c r="P196" t="str">
        <f>VLOOKUP(A196,snomed2,2,FALSE)</f>
        <v>indikation for procedure</v>
      </c>
      <c r="Q196" t="str">
        <f>VLOOKUP(A196,snomed2,3,FALSE)</f>
        <v>432678004</v>
      </c>
      <c r="R196" s="117"/>
    </row>
    <row r="197" spans="1:19">
      <c r="A197" s="26" t="s">
        <v>298</v>
      </c>
      <c r="B197" s="30" t="s">
        <v>34</v>
      </c>
      <c r="P197" t="str">
        <f>VLOOKUP(A197,snomed2,2,FALSE)</f>
        <v>henvisning til social- og sundhedsforvaltning</v>
      </c>
      <c r="Q197" t="str">
        <f>VLOOKUP(A197,snomed2,3,FALSE)</f>
        <v>306238000</v>
      </c>
      <c r="R197" s="118" t="str">
        <f>IF(C197="","",VLOOKUP(C197,vand_snom,3,FALSE))</f>
        <v/>
      </c>
      <c r="S197" s="118" t="str">
        <f>IF(R197="","",VLOOKUP(R197,snomed,3,FALSE))</f>
        <v/>
      </c>
    </row>
    <row r="198" spans="1:19">
      <c r="A198" s="26" t="s">
        <v>299</v>
      </c>
      <c r="B198" s="30" t="s">
        <v>40</v>
      </c>
      <c r="P198" t="str">
        <f>VLOOKUP(A198,snomed2,2,FALSE)</f>
        <v>indikation for procedure</v>
      </c>
      <c r="Q198" t="str">
        <f>VLOOKUP(A198,snomed2,3,FALSE)</f>
        <v>432678004</v>
      </c>
      <c r="R198" s="117"/>
    </row>
    <row r="199" spans="1:19">
      <c r="A199" s="26" t="s">
        <v>300</v>
      </c>
      <c r="B199" s="30" t="s">
        <v>34</v>
      </c>
      <c r="P199" t="str">
        <f>VLOOKUP(A199,snomed2,2,FALSE)</f>
        <v>flerfoldsgraviditet</v>
      </c>
      <c r="Q199" t="str">
        <f>VLOOKUP(A199,snomed2,3,FALSE)</f>
        <v>16356006</v>
      </c>
      <c r="R199" s="118" t="str">
        <f>IF(C199="","",VLOOKUP(C199,vand_snom,3,FALSE))</f>
        <v/>
      </c>
      <c r="S199" s="118" t="str">
        <f>IF(R199="","",VLOOKUP(R199,snomed,3,FALSE))</f>
        <v/>
      </c>
    </row>
    <row r="200" spans="1:19">
      <c r="A200" s="26" t="s">
        <v>301</v>
      </c>
      <c r="B200" s="30" t="s">
        <v>76</v>
      </c>
      <c r="P200" t="str">
        <f>VLOOKUP(A200,snomed2,2,FALSE)</f>
        <v>træk vedr. flerfoldsgraviditet med risikofaktorer</v>
      </c>
      <c r="Q200" t="str">
        <f>VLOOKUP(A200,snomed2,3,FALSE)</f>
        <v>648101000005108</v>
      </c>
      <c r="R200" s="117"/>
    </row>
    <row r="201" spans="1:19">
      <c r="A201" s="25" t="s">
        <v>302</v>
      </c>
      <c r="P201" t="str">
        <f>VLOOKUP(A201,snomed2,2,FALSE)</f>
        <v>Resume</v>
      </c>
      <c r="Q201" t="str">
        <f>VLOOKUP(A201,snomed2,3,FALSE)</f>
        <v>371534008</v>
      </c>
      <c r="R201" s="117"/>
    </row>
    <row r="202" spans="1:19">
      <c r="A202" s="26" t="s">
        <v>302</v>
      </c>
      <c r="B202" s="30" t="s">
        <v>76</v>
      </c>
      <c r="C202" s="41"/>
      <c r="P202" t="str">
        <f>VLOOKUP(A202,snomed2,2,FALSE)</f>
        <v>Resume</v>
      </c>
      <c r="Q202" t="str">
        <f>VLOOKUP(A202,snomed2,3,FALSE)</f>
        <v>371534008</v>
      </c>
      <c r="R202" s="117"/>
    </row>
    <row r="203" spans="1:19">
      <c r="A203" s="26"/>
      <c r="R203" s="119"/>
    </row>
    <row r="204" spans="1:19" ht="24">
      <c r="A204" s="1" t="s">
        <v>304</v>
      </c>
      <c r="B204" s="31"/>
      <c r="C204" s="1" t="s">
        <v>27</v>
      </c>
      <c r="D204" s="33" t="s">
        <v>186</v>
      </c>
      <c r="E204" s="1" t="s">
        <v>29</v>
      </c>
      <c r="R204" s="116"/>
    </row>
    <row r="205" spans="1:19">
      <c r="A205" s="1" t="s">
        <v>28</v>
      </c>
      <c r="B205" s="24" t="str">
        <f>IF(C205="","",VLOOKUP(C205,AftalerDatoer!$C$3:$G$26,4,FALSE))</f>
        <v/>
      </c>
      <c r="C205" s="20"/>
      <c r="D205" s="19" t="str">
        <f>IF(C205="","",VLOOKUP(C205,AftalerDatoer!$C$3:$E$26,2,FALSE))</f>
        <v/>
      </c>
      <c r="E205" t="str" cm="1">
        <f t="array" ref="E205">_xlfn.IFS(C205="","",VLOOKUP(C205,AftalerDatoer!$C$3:$H$26,4,FALSE)="SM",VLOOKUP(C205,AftalerDatoer!$C$3:$H$26,3,FALSE),VLOOKUP(C205,AftalerDatoer!$C$3:$H$26,4,FALSE)="UL",VLOOKUP(C205,AftalerDatoer!$C$3:$H$26,5,FALSE))</f>
        <v/>
      </c>
      <c r="R205" s="117"/>
    </row>
    <row r="206" spans="1:19">
      <c r="A206" s="1" t="s">
        <v>188</v>
      </c>
      <c r="P206" t="str">
        <f>VLOOKUP(A206,snomed2,2,FALSE)</f>
        <v>beregnet terminsdato</v>
      </c>
      <c r="Q206" t="str">
        <f>VLOOKUP(A206,snomed2,3,FALSE)</f>
        <v>161714006</v>
      </c>
      <c r="R206" s="117"/>
    </row>
    <row r="207" spans="1:19">
      <c r="A207" t="s">
        <v>189</v>
      </c>
      <c r="B207" s="30" t="s">
        <v>28</v>
      </c>
      <c r="P207" t="str">
        <f>VLOOKUP(A207,snomed2,2,FALSE)</f>
        <v>seneste menstruationsperiodes 1. dag</v>
      </c>
      <c r="Q207" t="str">
        <f>VLOOKUP(A207,snomed2,3,FALSE)</f>
        <v>161713000</v>
      </c>
      <c r="R207" s="117"/>
    </row>
    <row r="208" spans="1:19">
      <c r="A208" t="s">
        <v>190</v>
      </c>
      <c r="B208" s="30" t="s">
        <v>191</v>
      </c>
      <c r="P208" t="str">
        <f>VLOOKUP(A208,snomed2,2,FALSE)</f>
        <v>varighed af menstruationscyklus</v>
      </c>
      <c r="Q208" t="str">
        <f>VLOOKUP(A208,snomed2,3,FALSE)</f>
        <v>364310004</v>
      </c>
      <c r="R208" s="117"/>
    </row>
    <row r="209" spans="1:19">
      <c r="A209" t="s">
        <v>192</v>
      </c>
      <c r="B209" s="30" t="s">
        <v>28</v>
      </c>
      <c r="P209" t="str">
        <f>VLOOKUP(A209,snomed2,2,FALSE)</f>
        <v>beregnet terminsdato fra seneste menstruation</v>
      </c>
      <c r="Q209" t="str">
        <f>VLOOKUP(A209,snomed2,3,FALSE)</f>
        <v>289206005</v>
      </c>
      <c r="R209" s="117"/>
    </row>
    <row r="210" spans="1:19">
      <c r="A210" t="s">
        <v>194</v>
      </c>
      <c r="B210" s="30" t="s">
        <v>34</v>
      </c>
      <c r="P210" t="str">
        <f>VLOOKUP(A210,snomed2,2,FALSE)</f>
        <v>graviditet med sikker termin</v>
      </c>
      <c r="Q210" t="str">
        <f>VLOOKUP(A210,snomed2,3,FALSE)</f>
        <v>567941000005109</v>
      </c>
      <c r="R210" s="118" t="str">
        <f>IF(C210="","",VLOOKUP(C210,vand_snom,3,FALSE))</f>
        <v/>
      </c>
      <c r="S210" s="118" t="str">
        <f>IF(R210="","",VLOOKUP(R210,snomed,3,FALSE))</f>
        <v/>
      </c>
    </row>
    <row r="211" spans="1:19">
      <c r="A211" t="s">
        <v>115</v>
      </c>
      <c r="B211" s="30" t="s">
        <v>76</v>
      </c>
      <c r="P211" t="str">
        <f>VLOOKUP(A211,snomed2,2,FALSE)</f>
        <v>relevant information</v>
      </c>
      <c r="Q211" t="str">
        <f>VLOOKUP(A211,snomed2,3,FALSE)</f>
        <v>398005008</v>
      </c>
      <c r="R211" s="117"/>
    </row>
    <row r="212" spans="1:19">
      <c r="A212" s="1" t="s">
        <v>195</v>
      </c>
      <c r="R212" s="117"/>
    </row>
    <row r="213" spans="1:19">
      <c r="A213" t="s">
        <v>196</v>
      </c>
      <c r="B213" s="30" t="s">
        <v>49</v>
      </c>
      <c r="P213" t="str">
        <f>VLOOKUP(A213,snomed2,2,FALSE)</f>
        <v>gennemført uddannelse</v>
      </c>
      <c r="Q213" t="str">
        <f>VLOOKUP(A213,snomed2,3,FALSE)</f>
        <v>105421008</v>
      </c>
      <c r="R213" s="118" t="str">
        <f>IF(C213="","",VLOOKUP(C213,vand_snom,3,FALSE))</f>
        <v/>
      </c>
      <c r="S213" s="118" t="str">
        <f>IF(R213="","",VLOOKUP(R213,snomed,3,FALSE))</f>
        <v/>
      </c>
    </row>
    <row r="214" spans="1:19">
      <c r="A214" t="s">
        <v>197</v>
      </c>
      <c r="B214" s="30" t="s">
        <v>40</v>
      </c>
      <c r="P214" t="str">
        <f>VLOOKUP(A214,snomed2,2,FALSE)</f>
        <v>relevant information</v>
      </c>
      <c r="Q214" t="str">
        <f>VLOOKUP(A214,snomed2,3,FALSE)</f>
        <v>398005008</v>
      </c>
      <c r="R214" s="117"/>
    </row>
    <row r="215" spans="1:19">
      <c r="A215" t="s">
        <v>198</v>
      </c>
      <c r="B215" s="30" t="s">
        <v>49</v>
      </c>
      <c r="P215" t="str">
        <f>VLOOKUP(A215,snomed2,2,FALSE)</f>
        <v>oplysning om beskæftigelse</v>
      </c>
      <c r="Q215" t="str">
        <f>VLOOKUP(A215,snomed2,3,FALSE)</f>
        <v>364703007</v>
      </c>
      <c r="R215" s="118" t="str">
        <f>IF(C215="","",VLOOKUP(C215,vand_snom,3,FALSE))</f>
        <v/>
      </c>
      <c r="S215" s="118" t="str">
        <f>IF(R215="","",VLOOKUP(R215,snomed,3,FALSE))</f>
        <v/>
      </c>
    </row>
    <row r="216" spans="1:19">
      <c r="A216" t="s">
        <v>199</v>
      </c>
      <c r="B216" s="30" t="s">
        <v>40</v>
      </c>
      <c r="P216" t="str">
        <f>VLOOKUP(A216,snomed2,2,FALSE)</f>
        <v>relevant information</v>
      </c>
      <c r="Q216" t="str">
        <f>VLOOKUP(A216,snomed2,3,FALSE)</f>
        <v>398005008</v>
      </c>
      <c r="R216" s="117"/>
    </row>
    <row r="217" spans="1:19">
      <c r="A217" t="s">
        <v>200</v>
      </c>
      <c r="B217" s="30" t="s">
        <v>49</v>
      </c>
      <c r="P217" t="str">
        <f>VLOOKUP(A217,snomed2,2,FALSE)</f>
        <v>status for modtagelse af ydelse</v>
      </c>
      <c r="Q217" t="str">
        <f>VLOOKUP(A217,snomed2,3,FALSE)</f>
        <v>228163007</v>
      </c>
      <c r="R217" s="118" t="str">
        <f>IF(C217="","",VLOOKUP(C217,vand_snom,3,FALSE))</f>
        <v/>
      </c>
      <c r="S217" s="118" t="str">
        <f>IF(R217="","",VLOOKUP(R217,snomed,3,FALSE))</f>
        <v/>
      </c>
    </row>
    <row r="218" spans="1:19">
      <c r="A218" s="1" t="s">
        <v>201</v>
      </c>
      <c r="R218" s="117"/>
    </row>
    <row r="219" spans="1:19">
      <c r="A219" t="s">
        <v>203</v>
      </c>
      <c r="B219" s="30" t="s">
        <v>34</v>
      </c>
      <c r="P219" t="str">
        <f>VLOOKUP(A219,snomed2,2,FALSE)</f>
        <v>røg før bekræftet graviditet</v>
      </c>
      <c r="Q219" t="str">
        <f>VLOOKUP(A219,snomed2,3,FALSE)</f>
        <v>449345000</v>
      </c>
      <c r="R219" s="118" t="str">
        <f>IF(C219="","",VLOOKUP(C219,vand_snom,3,FALSE))</f>
        <v/>
      </c>
      <c r="S219" s="118" t="str">
        <f>IF(R219="","",VLOOKUP(R219,snomed,3,FALSE))</f>
        <v/>
      </c>
    </row>
    <row r="220" spans="1:19">
      <c r="A220" t="s">
        <v>206</v>
      </c>
      <c r="B220" s="30" t="s">
        <v>49</v>
      </c>
      <c r="P220" t="str">
        <f>VLOOKUP(A220,snomed2,2,FALSE)</f>
        <v>moders forbrug af røgtobak under graviditet</v>
      </c>
      <c r="Q220" t="str">
        <f>VLOOKUP(A220,snomed2,3,FALSE)</f>
        <v>598171000005102</v>
      </c>
      <c r="R220" s="118" t="str">
        <f>IF(C220="","",VLOOKUP(C220,vand_snom,3,FALSE))</f>
        <v/>
      </c>
      <c r="S220" s="118" t="str">
        <f>IF(R220="","",VLOOKUP(R220,snomed,3,FALSE))</f>
        <v/>
      </c>
    </row>
    <row r="221" spans="1:19">
      <c r="A221" t="s">
        <v>209</v>
      </c>
      <c r="B221" s="30" t="s">
        <v>28</v>
      </c>
      <c r="P221" t="str">
        <f>VLOOKUP(A221,snomed2,2,FALSE)</f>
        <v>dato for rygeophør</v>
      </c>
      <c r="Q221" t="str">
        <f>VLOOKUP(A221,snomed2,3,FALSE)</f>
        <v>160625004</v>
      </c>
      <c r="R221" s="117"/>
    </row>
    <row r="222" spans="1:19">
      <c r="A222" t="s">
        <v>212</v>
      </c>
      <c r="B222" s="30" t="s">
        <v>34</v>
      </c>
      <c r="P222" t="str">
        <f>VLOOKUP(A222,snomed2,2,FALSE)</f>
        <v>udsat for tobaksrøg i hjemmet</v>
      </c>
      <c r="Q222" t="str">
        <f>VLOOKUP(A222,snomed2,3,FALSE)</f>
        <v>228524006</v>
      </c>
      <c r="R222" s="118" t="str">
        <f>IF(C222="","",VLOOKUP(C222,vand_snom,3,FALSE))</f>
        <v/>
      </c>
      <c r="S222" s="118" t="str">
        <f>IF(R222="","",VLOOKUP(R222,snomed,3,FALSE))</f>
        <v/>
      </c>
    </row>
    <row r="223" spans="1:19">
      <c r="A223" t="s">
        <v>215</v>
      </c>
      <c r="B223" s="30" t="s">
        <v>34</v>
      </c>
      <c r="P223" t="str">
        <f>VLOOKUP(A223,snomed2,2,FALSE)</f>
        <v>udsat for tobaksrøg på jobbet</v>
      </c>
      <c r="Q223" t="str">
        <f>VLOOKUP(A223,snomed2,3,FALSE)</f>
        <v>228523000</v>
      </c>
      <c r="R223" s="118" t="str">
        <f>IF(C223="","",VLOOKUP(C223,vand_snom,3,FALSE))</f>
        <v/>
      </c>
      <c r="S223" s="118" t="str">
        <f>IF(R223="","",VLOOKUP(R223,snomed,3,FALSE))</f>
        <v/>
      </c>
    </row>
    <row r="224" spans="1:19">
      <c r="A224" t="s">
        <v>218</v>
      </c>
      <c r="B224" s="30" t="s">
        <v>49</v>
      </c>
      <c r="P224" t="str">
        <f>VLOOKUP(A224,snomed2,2,FALSE)</f>
        <v>henvisning til rygestopklinik</v>
      </c>
      <c r="Q224" t="str">
        <f>VLOOKUP(A224,snomed2,3,FALSE)</f>
        <v>315232003</v>
      </c>
      <c r="R224" s="118" t="str">
        <f>IF(C224="","",VLOOKUP(C224,m_htton,3,FALSE))</f>
        <v/>
      </c>
      <c r="S224" s="118" t="str">
        <f>IF(R224="","",VLOOKUP(R224,snomed,3,FALSE))</f>
        <v/>
      </c>
    </row>
    <row r="225" spans="1:19">
      <c r="A225" t="s">
        <v>221</v>
      </c>
      <c r="B225" s="30" t="s">
        <v>34</v>
      </c>
      <c r="P225" t="str">
        <f>VLOOKUP(A225,snomed2,2,FALSE)</f>
        <v>bruger af nicotin før bekræftet graviditet</v>
      </c>
      <c r="Q225" t="str">
        <f>VLOOKUP(A225,snomed2,3,FALSE)</f>
        <v>598091000005102</v>
      </c>
      <c r="R225" s="118" t="str">
        <f>IF(C225="","",VLOOKUP(C225,vand_snom,3,FALSE))</f>
        <v/>
      </c>
      <c r="S225" s="118" t="str">
        <f>IF(R225="","",VLOOKUP(R225,snomed,3,FALSE))</f>
        <v/>
      </c>
    </row>
    <row r="226" spans="1:19">
      <c r="A226" t="s">
        <v>224</v>
      </c>
      <c r="B226" s="30" t="s">
        <v>49</v>
      </c>
      <c r="P226" t="str">
        <f>VLOOKUP(A226,snomed2,2,FALSE)</f>
        <v>bruger af nicotin under graviditet</v>
      </c>
      <c r="Q226" t="str">
        <f>VLOOKUP(A226,snomed2,3,FALSE)</f>
        <v>598221000005106</v>
      </c>
      <c r="R226" s="118" t="str">
        <f>IF(C226="","",VLOOKUP(C226,m_bruNit,3,FALSE))</f>
        <v/>
      </c>
      <c r="S226" s="118" t="str">
        <f>IF(R226="","",VLOOKUP(R226,snomed,3,FALSE))</f>
        <v/>
      </c>
    </row>
    <row r="227" spans="1:19">
      <c r="A227" t="s">
        <v>227</v>
      </c>
      <c r="B227" s="30" t="s">
        <v>28</v>
      </c>
      <c r="P227" t="str">
        <f>VLOOKUP(A227,snomed2,2,FALSE)</f>
        <v>dato for ophør med brug af nicotin</v>
      </c>
      <c r="Q227" t="str">
        <f>VLOOKUP(A227,snomed2,3,FALSE)</f>
        <v>598261000005102</v>
      </c>
      <c r="R227" s="117"/>
    </row>
    <row r="228" spans="1:19">
      <c r="A228" s="1" t="s">
        <v>230</v>
      </c>
      <c r="P228" t="str">
        <f>VLOOKUP(A228,snomed2,2,FALSE)</f>
        <v>adfærd i relation til brug af stof</v>
      </c>
      <c r="Q228" t="str">
        <f>VLOOKUP(A228,snomed2,3,FALSE)</f>
        <v>1187057000</v>
      </c>
      <c r="R228" s="117"/>
    </row>
    <row r="229" spans="1:19">
      <c r="A229" t="s">
        <v>233</v>
      </c>
      <c r="B229" s="30" t="s">
        <v>34</v>
      </c>
      <c r="P229" t="str">
        <f>VLOOKUP(A229,snomed2,2,FALSE)</f>
        <v>nikotinpose</v>
      </c>
      <c r="Q229" t="str">
        <f>VLOOKUP(A229,snomed2,3,FALSE)</f>
        <v>598111000005109</v>
      </c>
      <c r="R229" s="118" t="str">
        <f>IF(C229="","",VLOOKUP(C229,vand_snom,3,FALSE))</f>
        <v/>
      </c>
      <c r="S229" s="118" t="str">
        <f>IF(R229="","",VLOOKUP(R229,snomed,3,FALSE))</f>
        <v/>
      </c>
    </row>
    <row r="230" spans="1:19">
      <c r="A230" t="s">
        <v>236</v>
      </c>
      <c r="B230" s="30" t="s">
        <v>43</v>
      </c>
      <c r="P230" t="str">
        <f>VLOOKUP(A230,snomed2,2,FALSE)</f>
        <v>E/dag</v>
      </c>
      <c r="Q230" t="str">
        <f>VLOOKUP(A230,snomed2,3,FALSE)</f>
        <v>258950000</v>
      </c>
      <c r="R230" s="117"/>
    </row>
    <row r="231" spans="1:19">
      <c r="A231" t="s">
        <v>239</v>
      </c>
      <c r="B231" s="30" t="s">
        <v>34</v>
      </c>
      <c r="P231" t="str">
        <f>VLOOKUP(A231,snomed2,2,FALSE)</f>
        <v>nikotintyggegummi</v>
      </c>
      <c r="Q231" t="str">
        <f>VLOOKUP(A231,snomed2,3,FALSE)</f>
        <v>598101000005106</v>
      </c>
      <c r="R231" s="118" t="str">
        <f>IF(C231="","",VLOOKUP(C231,vand_snom,3,FALSE))</f>
        <v/>
      </c>
      <c r="S231" s="118" t="str">
        <f>IF(R231="","",VLOOKUP(R231,snomed,3,FALSE))</f>
        <v/>
      </c>
    </row>
    <row r="232" spans="1:19">
      <c r="A232" t="s">
        <v>242</v>
      </c>
      <c r="B232" s="30" t="s">
        <v>70</v>
      </c>
      <c r="P232" t="str">
        <f>VLOOKUP(A232,snomed2,2,FALSE)</f>
        <v>E/dag</v>
      </c>
      <c r="Q232" t="str">
        <f>VLOOKUP(A232,snomed2,3,FALSE)</f>
        <v>258950000</v>
      </c>
      <c r="R232" s="117"/>
    </row>
    <row r="233" spans="1:19">
      <c r="A233" t="s">
        <v>245</v>
      </c>
      <c r="B233" s="30" t="s">
        <v>34</v>
      </c>
      <c r="P233" t="str">
        <f>VLOOKUP(A233,snomed2,2,FALSE)</f>
        <v>elektronisk cigaret</v>
      </c>
      <c r="Q233" t="str">
        <f>VLOOKUP(A233,snomed2,3,FALSE)</f>
        <v>722498003</v>
      </c>
      <c r="R233" s="118" t="str">
        <f>IF(C233="","",VLOOKUP(C233,vand_snom,3,FALSE))</f>
        <v/>
      </c>
      <c r="S233" s="118" t="str">
        <f>IF(R233="","",VLOOKUP(R233,snomed,3,FALSE))</f>
        <v/>
      </c>
    </row>
    <row r="234" spans="1:19">
      <c r="A234" t="s">
        <v>248</v>
      </c>
      <c r="B234" s="30" t="s">
        <v>43</v>
      </c>
      <c r="P234" t="str">
        <f>VLOOKUP(A234,snomed2,2,FALSE)</f>
        <v>ml/dag</v>
      </c>
      <c r="Q234" t="str">
        <f>VLOOKUP(A234,snomed2,3,FALSE)</f>
        <v>258860005</v>
      </c>
      <c r="R234" s="117"/>
    </row>
    <row r="235" spans="1:19">
      <c r="A235" t="s">
        <v>249</v>
      </c>
      <c r="B235" s="30" t="s">
        <v>34</v>
      </c>
      <c r="P235" t="str">
        <f>VLOOKUP(A235,snomed2,2,FALSE)</f>
        <v>tyggetobak</v>
      </c>
      <c r="Q235" t="str">
        <f>VLOOKUP(A235,snomed2,3,FALSE)</f>
        <v>81911001</v>
      </c>
      <c r="R235" s="118" t="str">
        <f>IF(C235="","",VLOOKUP(C235,vand_snom,3,FALSE))</f>
        <v/>
      </c>
      <c r="S235" s="118" t="str">
        <f>IF(R235="","",VLOOKUP(R235,snomed,3,FALSE))</f>
        <v/>
      </c>
    </row>
    <row r="236" spans="1:19">
      <c r="A236" t="s">
        <v>250</v>
      </c>
      <c r="B236" s="30" t="s">
        <v>70</v>
      </c>
      <c r="P236" t="str">
        <f>VLOOKUP(A236,snomed2,2,FALSE)</f>
        <v>E/dag</v>
      </c>
      <c r="Q236" t="str">
        <f>VLOOKUP(A236,snomed2,3,FALSE)</f>
        <v>258950000</v>
      </c>
      <c r="R236" s="117"/>
    </row>
    <row r="237" spans="1:19">
      <c r="A237" t="s">
        <v>251</v>
      </c>
      <c r="B237" s="30" t="s">
        <v>34</v>
      </c>
      <c r="R237" s="118" t="str">
        <f>IF(C237="","",VLOOKUP(C237,vand_snom,3,FALSE))</f>
        <v/>
      </c>
      <c r="S237" s="118" t="str">
        <f>IF(R237="","",VLOOKUP(R237,snomed,3,FALSE))</f>
        <v/>
      </c>
    </row>
    <row r="238" spans="1:19">
      <c r="A238" t="s">
        <v>252</v>
      </c>
      <c r="B238" s="30" t="s">
        <v>49</v>
      </c>
      <c r="P238" t="str">
        <f>VLOOKUP(A238,snomed2,2,FALSE)</f>
        <v>vandpibe</v>
      </c>
      <c r="Q238" t="str">
        <f>VLOOKUP(A238,snomed2,3,FALSE)</f>
        <v>722495000</v>
      </c>
      <c r="R238" s="118" t="str">
        <f>IF(C238="","",VLOOKUP(C238,m_vandpibe,3,FALSE))</f>
        <v/>
      </c>
      <c r="S238" s="118" t="str">
        <f>IF(R238="","",VLOOKUP(R238,snomed,3,FALSE))</f>
        <v/>
      </c>
    </row>
    <row r="239" spans="1:19">
      <c r="A239" t="s">
        <v>253</v>
      </c>
      <c r="B239" s="30" t="s">
        <v>76</v>
      </c>
      <c r="P239" t="str">
        <f>VLOOKUP(A239,snomed2,2,FALSE)</f>
        <v>eksponering for potentielt skadeligt emne</v>
      </c>
      <c r="Q239" t="str">
        <f>VLOOKUP(A239,snomed2,3,FALSE)</f>
        <v>418715001</v>
      </c>
      <c r="R239" s="117"/>
    </row>
    <row r="240" spans="1:19">
      <c r="A240" s="1" t="s">
        <v>254</v>
      </c>
      <c r="P240" t="str">
        <f>VLOOKUP(A240,snomed2,2,FALSE)</f>
        <v>detaljer vedr. adfærd ifm. indtag af alkohol</v>
      </c>
      <c r="Q240" t="str">
        <f>VLOOKUP(A240,snomed2,3,FALSE)</f>
        <v>363905002</v>
      </c>
      <c r="R240" s="117"/>
    </row>
    <row r="241" spans="1:19">
      <c r="A241" t="s">
        <v>255</v>
      </c>
      <c r="B241" s="30" t="s">
        <v>34</v>
      </c>
      <c r="P241" t="str">
        <f>VLOOKUP(A241,snomed2,2,FALSE)</f>
        <v>bruger af alkohol før bekræftet graviditet</v>
      </c>
      <c r="Q241" t="str">
        <f>VLOOKUP(A241,snomed2,3,FALSE)</f>
        <v>568171000005100</v>
      </c>
      <c r="R241" s="118" t="str">
        <f>IF(C241="","",VLOOKUP(C241,vand_snom,3,FALSE))</f>
        <v/>
      </c>
      <c r="S241" s="118" t="str">
        <f>IF(R241="","",VLOOKUP(R241,snomed,3,FALSE))</f>
        <v/>
      </c>
    </row>
    <row r="242" spans="1:19">
      <c r="A242" t="s">
        <v>256</v>
      </c>
      <c r="B242" s="30" t="s">
        <v>43</v>
      </c>
      <c r="P242" t="str">
        <f>VLOOKUP(A242,snomed2,2,FALSE)</f>
        <v>alkoholgenstande/uge</v>
      </c>
      <c r="Q242" t="str">
        <f>VLOOKUP(A242,snomed2,3,FALSE)</f>
        <v>228958009</v>
      </c>
      <c r="R242" s="117"/>
    </row>
    <row r="243" spans="1:19">
      <c r="A243" t="s">
        <v>257</v>
      </c>
      <c r="B243" s="30" t="s">
        <v>34</v>
      </c>
      <c r="P243" t="str">
        <f>VLOOKUP(A243,snomed2,2,FALSE)</f>
        <v>alkoholindtag under graviditet</v>
      </c>
      <c r="Q243" t="str">
        <f>VLOOKUP(A243,snomed2,3,FALSE)</f>
        <v>427013000</v>
      </c>
      <c r="R243" s="118" t="str">
        <f>IF(C243="","",VLOOKUP(C243,vand_snom,3,FALSE))</f>
        <v/>
      </c>
      <c r="S243" s="118" t="str">
        <f>IF(R243="","",VLOOKUP(R243,snomed,3,FALSE))</f>
        <v/>
      </c>
    </row>
    <row r="244" spans="1:19">
      <c r="A244" t="s">
        <v>258</v>
      </c>
      <c r="B244" s="30" t="s">
        <v>70</v>
      </c>
      <c r="P244" t="str">
        <f>VLOOKUP(A244,snomed2,2,FALSE)</f>
        <v>alkoholgenstande/uge</v>
      </c>
      <c r="Q244" t="str">
        <f>VLOOKUP(A244,snomed2,3,FALSE)</f>
        <v>228958009</v>
      </c>
      <c r="R244" s="117"/>
    </row>
    <row r="245" spans="1:19">
      <c r="A245" t="s">
        <v>259</v>
      </c>
      <c r="B245" s="30" t="s">
        <v>70</v>
      </c>
      <c r="P245" t="str">
        <f>VLOOKUP(A245,snomed2,2,FALSE)</f>
        <v>binge-drinking</v>
      </c>
      <c r="Q245" t="str">
        <f>VLOOKUP(A245,snomed2,3,FALSE)</f>
        <v>228326007</v>
      </c>
      <c r="R245" s="117"/>
    </row>
    <row r="246" spans="1:19">
      <c r="A246" t="s">
        <v>260</v>
      </c>
      <c r="B246" s="30" t="s">
        <v>76</v>
      </c>
      <c r="P246" t="str">
        <f>VLOOKUP(A246,snomed2,2,FALSE)</f>
        <v>graviditetsuge</v>
      </c>
      <c r="Q246" t="str">
        <f>VLOOKUP(A246,snomed2,3,FALSE)</f>
        <v>598141000005108</v>
      </c>
      <c r="R246" s="117"/>
    </row>
    <row r="247" spans="1:19">
      <c r="A247" t="s">
        <v>261</v>
      </c>
      <c r="B247" s="30" t="s">
        <v>49</v>
      </c>
      <c r="P247" t="str">
        <f>VLOOKUP(A247,snomed2,2,FALSE)</f>
        <v>TWEAK-score</v>
      </c>
      <c r="Q247" t="str">
        <f>VLOOKUP(A247,snomed2,3,FALSE)</f>
        <v>568251000005102</v>
      </c>
      <c r="R247" s="117"/>
    </row>
    <row r="248" spans="1:19">
      <c r="A248" s="1" t="s">
        <v>262</v>
      </c>
      <c r="P248" t="str">
        <f>VLOOKUP(A248,snomed2,2,FALSE)</f>
        <v>detaljer vedr. adfærd i relation til brug af stof</v>
      </c>
      <c r="Q248" t="str">
        <f>VLOOKUP(A248,snomed2,3,FALSE)</f>
        <v>363908000</v>
      </c>
      <c r="R248" s="117"/>
    </row>
    <row r="249" spans="1:19" ht="29.25">
      <c r="A249" s="2" t="s">
        <v>263</v>
      </c>
      <c r="B249" s="30" t="s">
        <v>34</v>
      </c>
      <c r="P249" t="str">
        <f>VLOOKUP(A249,snomed2,2,FALSE)</f>
        <v>træk vedr. stof</v>
      </c>
      <c r="Q249" t="str">
        <f>VLOOKUP(A249,snomed2,3,FALSE)</f>
        <v>361055000</v>
      </c>
      <c r="R249" s="118" t="str">
        <f>IF(C249="","",VLOOKUP(C249,vand_snom,3,FALSE))</f>
        <v/>
      </c>
      <c r="S249" s="118" t="str">
        <f>IF(R249="","",VLOOKUP(R249,snomed,3,FALSE))</f>
        <v/>
      </c>
    </row>
    <row r="250" spans="1:19">
      <c r="A250" t="s">
        <v>264</v>
      </c>
      <c r="B250" s="30" t="s">
        <v>74</v>
      </c>
      <c r="C250" s="1" t="s">
        <v>265</v>
      </c>
      <c r="D250" s="1"/>
      <c r="P250" t="str">
        <f>VLOOKUP(A250,snomed2,2,FALSE)</f>
        <v>træk vedr. stof</v>
      </c>
      <c r="Q250" t="str">
        <f>VLOOKUP(A250,snomed2,3,FALSE)</f>
        <v>373063009</v>
      </c>
      <c r="R250" s="117"/>
    </row>
    <row r="251" spans="1:19">
      <c r="A251" t="s">
        <v>266</v>
      </c>
      <c r="D251" t="str">
        <f>IF(C251="","",VLOOKUP(C251,RM_kat,2,FALSE))</f>
        <v/>
      </c>
      <c r="R251" s="118" t="str">
        <f>IF(C251="","",VLOOKUP(C251,vand_snom,3,FALSE))</f>
        <v/>
      </c>
      <c r="S251" s="118" t="str">
        <f>IF(R251="","",VLOOKUP(R251,snomed,3,FALSE))</f>
        <v/>
      </c>
    </row>
    <row r="252" spans="1:19">
      <c r="A252" t="s">
        <v>266</v>
      </c>
      <c r="D252" t="str">
        <f>IF(C252="","",VLOOKUP(C252,RM_kat,2,FALSE))</f>
        <v/>
      </c>
      <c r="R252" s="118" t="str">
        <f>IF(C252="","",VLOOKUP(C252,vand_snom,3,FALSE))</f>
        <v/>
      </c>
      <c r="S252" s="118" t="str">
        <f>IF(R252="","",VLOOKUP(R252,snomed,3,FALSE))</f>
        <v/>
      </c>
    </row>
    <row r="253" spans="1:19">
      <c r="A253" t="s">
        <v>266</v>
      </c>
      <c r="D253" t="str">
        <f>IF(C253="","",VLOOKUP(C253,RM_kat,2,FALSE))</f>
        <v/>
      </c>
      <c r="R253" s="118" t="str">
        <f>IF(C253="","",VLOOKUP(C253,vand_snom,3,FALSE))</f>
        <v/>
      </c>
      <c r="S253" s="118" t="str">
        <f>IF(R253="","",VLOOKUP(R253,snomed,3,FALSE))</f>
        <v/>
      </c>
    </row>
    <row r="254" spans="1:19">
      <c r="A254" t="s">
        <v>266</v>
      </c>
      <c r="D254" t="str">
        <f>IF(C254="","",VLOOKUP(C254,RM_kat,2,FALSE))</f>
        <v/>
      </c>
      <c r="R254" s="118" t="str">
        <f>IF(C254="","",VLOOKUP(C254,vand_snom,3,FALSE))</f>
        <v/>
      </c>
      <c r="S254" s="118" t="str">
        <f>IF(R254="","",VLOOKUP(R254,snomed,3,FALSE))</f>
        <v/>
      </c>
    </row>
    <row r="255" spans="1:19">
      <c r="A255" t="s">
        <v>266</v>
      </c>
      <c r="R255" s="118" t="str">
        <f>IF(C255="","",VLOOKUP(C255,vand_snom,3,FALSE))</f>
        <v/>
      </c>
      <c r="S255" s="118" t="str">
        <f>IF(R255="","",VLOOKUP(R255,snomed,3,FALSE))</f>
        <v/>
      </c>
    </row>
    <row r="256" spans="1:19">
      <c r="A256" s="1" t="s">
        <v>267</v>
      </c>
      <c r="R256" s="117"/>
    </row>
    <row r="257" spans="1:19">
      <c r="A257" t="s">
        <v>268</v>
      </c>
      <c r="B257" s="30" t="s">
        <v>76</v>
      </c>
      <c r="P257" t="str">
        <f>VLOOKUP(A257,snomed2,2,FALSE)</f>
        <v>træk vedr. ernæring</v>
      </c>
      <c r="Q257" t="str">
        <f>VLOOKUP(A257,snomed2,3,FALSE)</f>
        <v>364393001</v>
      </c>
      <c r="R257" s="117"/>
    </row>
    <row r="258" spans="1:19">
      <c r="A258" t="s">
        <v>269</v>
      </c>
      <c r="B258" s="30" t="s">
        <v>76</v>
      </c>
      <c r="P258" t="str">
        <f>VLOOKUP(A258,snomed2,2,FALSE)</f>
        <v>træning</v>
      </c>
      <c r="Q258" t="str">
        <f>VLOOKUP(A258,snomed2,3,FALSE)</f>
        <v>256235009</v>
      </c>
      <c r="R258" s="117"/>
    </row>
    <row r="259" spans="1:19">
      <c r="A259" s="1" t="s">
        <v>270</v>
      </c>
      <c r="P259" t="str">
        <f>VLOOKUP(A259,snomed2,2,FALSE)</f>
        <v>oplysninger om partner</v>
      </c>
      <c r="Q259" t="str">
        <f>VLOOKUP(A259,snomed2,3,FALSE)</f>
        <v>648091000005104</v>
      </c>
      <c r="R259" s="117"/>
    </row>
    <row r="260" spans="1:19">
      <c r="A260" t="s">
        <v>271</v>
      </c>
      <c r="B260" s="30" t="s">
        <v>49</v>
      </c>
      <c r="P260" t="str">
        <f>VLOOKUP(A260,snomed2,2,FALSE)</f>
        <v>partners beskæftigelse</v>
      </c>
      <c r="Q260" t="str">
        <f>VLOOKUP(A260,snomed2,3,FALSE)</f>
        <v>1252646008</v>
      </c>
      <c r="R260" s="118" t="str">
        <f>IF(C260="","",VLOOKUP(C260,vand_snom,3,FALSE))</f>
        <v/>
      </c>
      <c r="S260" s="118" t="str">
        <f>IF(R260="","",VLOOKUP(R260,snomed,3,FALSE))</f>
        <v/>
      </c>
    </row>
    <row r="261" spans="1:19">
      <c r="A261" t="s">
        <v>272</v>
      </c>
      <c r="B261" s="30" t="s">
        <v>34</v>
      </c>
      <c r="P261" t="str">
        <f>VLOOKUP(A261,snomed2,2,FALSE)</f>
        <v>partner har udfordringer med fysisk helbred</v>
      </c>
      <c r="Q261" t="str">
        <f>VLOOKUP(A261,snomed2,3,FALSE)</f>
        <v>608001000005102</v>
      </c>
      <c r="R261" s="118" t="str">
        <f>IF(C261="","",VLOOKUP(C261,vand_snom,3,FALSE))</f>
        <v/>
      </c>
      <c r="S261" s="118" t="str">
        <f>IF(R261="","",VLOOKUP(R261,snomed,3,FALSE))</f>
        <v/>
      </c>
    </row>
    <row r="262" spans="1:19">
      <c r="A262" t="s">
        <v>273</v>
      </c>
      <c r="B262" s="30" t="s">
        <v>34</v>
      </c>
      <c r="P262" t="str">
        <f>VLOOKUP(A262,snomed2,2,FALSE)</f>
        <v>partner har udfordringer med psykisk helbred</v>
      </c>
      <c r="Q262" t="str">
        <f>VLOOKUP(A262,snomed2,3,FALSE)</f>
        <v>608011000005104</v>
      </c>
      <c r="R262" s="118" t="str">
        <f>IF(C262="","",VLOOKUP(C262,vand_snom,3,FALSE))</f>
        <v/>
      </c>
      <c r="S262" s="118" t="str">
        <f>IF(R262="","",VLOOKUP(R262,snomed,3,FALSE))</f>
        <v/>
      </c>
    </row>
    <row r="263" spans="1:19">
      <c r="A263" t="s">
        <v>274</v>
      </c>
      <c r="B263" s="30" t="s">
        <v>34</v>
      </c>
      <c r="P263" t="str">
        <f>VLOOKUP(A263,snomed2,2,FALSE)</f>
        <v>partner har problematisk alkoholforbrug</v>
      </c>
      <c r="Q263" t="str">
        <f>VLOOKUP(A263,snomed2,3,FALSE)</f>
        <v>648041000005106</v>
      </c>
      <c r="R263" s="118" t="str">
        <f>IF(C263="","",VLOOKUP(C263,vand_snom,3,FALSE))</f>
        <v/>
      </c>
      <c r="S263" s="118" t="str">
        <f>IF(R263="","",VLOOKUP(R263,snomed,3,FALSE))</f>
        <v/>
      </c>
    </row>
    <row r="264" spans="1:19">
      <c r="A264" t="s">
        <v>275</v>
      </c>
      <c r="B264" s="30" t="s">
        <v>34</v>
      </c>
      <c r="P264" t="str">
        <f>VLOOKUP(A264,snomed2,2,FALSE)</f>
        <v>partner har skadeligt brug af rusmidler</v>
      </c>
      <c r="Q264" t="str">
        <f>VLOOKUP(A264,snomed2,3,FALSE)</f>
        <v>608031000005108</v>
      </c>
      <c r="R264" s="118" t="str">
        <f>IF(C264="","",VLOOKUP(C264,vand_snom,3,FALSE))</f>
        <v/>
      </c>
      <c r="S264" s="118" t="str">
        <f>IF(R264="","",VLOOKUP(R264,snomed,3,FALSE))</f>
        <v/>
      </c>
    </row>
    <row r="265" spans="1:19">
      <c r="A265" t="s">
        <v>276</v>
      </c>
      <c r="B265" s="30" t="s">
        <v>34</v>
      </c>
      <c r="P265" t="str">
        <f>VLOOKUP(A265,snomed2,2,FALSE)</f>
        <v>partner har socialt problem</v>
      </c>
      <c r="Q265" t="str">
        <f>VLOOKUP(A265,snomed2,3,FALSE)</f>
        <v>608041000005100</v>
      </c>
      <c r="R265" s="118" t="str">
        <f>IF(C265="","",VLOOKUP(C265,vand_snom,3,FALSE))</f>
        <v/>
      </c>
      <c r="S265" s="118" t="str">
        <f>IF(R265="","",VLOOKUP(R265,snomed,3,FALSE))</f>
        <v/>
      </c>
    </row>
    <row r="266" spans="1:19">
      <c r="A266" t="s">
        <v>277</v>
      </c>
      <c r="B266" s="30" t="s">
        <v>76</v>
      </c>
      <c r="P266" t="str">
        <f>VLOOKUP(A266,snomed2,2,FALSE)</f>
        <v>relevant information</v>
      </c>
      <c r="Q266" t="str">
        <f>VLOOKUP(A266,snomed2,3,FALSE)</f>
        <v>398005008</v>
      </c>
      <c r="R266" s="117"/>
    </row>
    <row r="267" spans="1:19">
      <c r="A267" s="1" t="s">
        <v>278</v>
      </c>
      <c r="R267" s="117"/>
    </row>
    <row r="268" spans="1:19">
      <c r="A268" t="s">
        <v>279</v>
      </c>
      <c r="B268" s="30" t="s">
        <v>76</v>
      </c>
      <c r="P268" t="str">
        <f>VLOOKUP(A268,snomed2,2,FALSE)</f>
        <v>ønsket fødested</v>
      </c>
      <c r="Q268" t="str">
        <f>VLOOKUP(A268,snomed2,3,FALSE)</f>
        <v>648021000005101</v>
      </c>
      <c r="R268" s="117"/>
    </row>
    <row r="269" spans="1:19">
      <c r="A269" t="s">
        <v>280</v>
      </c>
      <c r="B269" s="30" t="s">
        <v>34</v>
      </c>
      <c r="P269" t="str">
        <f>VLOOKUP(A269,snomed2,2,FALSE)</f>
        <v>hjemmefødsel ønsket</v>
      </c>
      <c r="Q269" t="str">
        <f>VLOOKUP(A269,snomed2,3,FALSE)</f>
        <v>2903011000005100</v>
      </c>
      <c r="R269" s="118" t="str">
        <f>IF(C269="","",VLOOKUP(C269,vand_snom,3,FALSE))</f>
        <v/>
      </c>
      <c r="S269" s="118" t="str">
        <f>IF(R269="","",VLOOKUP(R269,snomed,3,FALSE))</f>
        <v/>
      </c>
    </row>
    <row r="270" spans="1:19">
      <c r="A270" t="s">
        <v>281</v>
      </c>
      <c r="B270" s="30" t="s">
        <v>76</v>
      </c>
      <c r="P270" t="str">
        <f>VLOOKUP(A270,snomed2,2,FALSE)</f>
        <v>planlagt fødested</v>
      </c>
      <c r="Q270" t="str">
        <f>VLOOKUP(A270,snomed2,3,FALSE)</f>
        <v>648011000005107</v>
      </c>
      <c r="R270" s="117"/>
    </row>
    <row r="271" spans="1:19">
      <c r="A271" s="8" t="s">
        <v>281</v>
      </c>
      <c r="P271" t="str">
        <f>VLOOKUP(A271,snomed2,2,FALSE)</f>
        <v>planlagt fødested</v>
      </c>
      <c r="Q271" t="str">
        <f>VLOOKUP(A271,snomed2,3,FALSE)</f>
        <v>648011000005107</v>
      </c>
      <c r="R271" s="117"/>
    </row>
    <row r="272" spans="1:19">
      <c r="A272" t="s">
        <v>282</v>
      </c>
      <c r="B272" s="30" t="s">
        <v>283</v>
      </c>
      <c r="R272" s="117"/>
    </row>
    <row r="273" spans="1:19">
      <c r="A273" t="s">
        <v>284</v>
      </c>
      <c r="B273" s="30" t="s">
        <v>283</v>
      </c>
      <c r="R273" s="117"/>
    </row>
    <row r="274" spans="1:19">
      <c r="A274" s="8" t="s">
        <v>279</v>
      </c>
      <c r="P274" t="str">
        <f>VLOOKUP(A274,snomed2,2,FALSE)</f>
        <v>ønsket fødested</v>
      </c>
      <c r="Q274" t="str">
        <f>VLOOKUP(A274,snomed2,3,FALSE)</f>
        <v>648021000005101</v>
      </c>
      <c r="R274" s="117"/>
    </row>
    <row r="275" spans="1:19">
      <c r="A275" t="s">
        <v>282</v>
      </c>
      <c r="B275" s="30" t="s">
        <v>283</v>
      </c>
      <c r="R275" s="117"/>
    </row>
    <row r="276" spans="1:19">
      <c r="A276" t="s">
        <v>284</v>
      </c>
      <c r="B276" s="30" t="s">
        <v>283</v>
      </c>
      <c r="R276" s="117"/>
    </row>
    <row r="277" spans="1:19">
      <c r="A277" t="s">
        <v>285</v>
      </c>
      <c r="B277" s="30" t="s">
        <v>76</v>
      </c>
      <c r="P277" t="str">
        <f>VLOOKUP(A277,snomed2,2,FALSE)</f>
        <v>tildelt jordemoderklinik</v>
      </c>
      <c r="Q277" t="str">
        <f>VLOOKUP(A277,snomed2,3,FALSE)</f>
        <v>648081000005102</v>
      </c>
      <c r="R277" s="117"/>
    </row>
    <row r="278" spans="1:19">
      <c r="A278" t="s">
        <v>286</v>
      </c>
      <c r="B278" s="30" t="s">
        <v>76</v>
      </c>
      <c r="P278" t="str">
        <f>VLOOKUP(A278,snomed2,2,FALSE)</f>
        <v>ønsket jordemoderklinik</v>
      </c>
      <c r="Q278" t="str">
        <f>VLOOKUP(A278,snomed2,3,FALSE)</f>
        <v>648071000005100</v>
      </c>
      <c r="R278" s="117"/>
    </row>
    <row r="279" spans="1:19">
      <c r="A279" t="s">
        <v>287</v>
      </c>
      <c r="B279" s="30" t="s">
        <v>76</v>
      </c>
      <c r="P279" t="str">
        <f>VLOOKUP(A279,snomed2,2,FALSE)</f>
        <v>ønsket jordemoderklinik</v>
      </c>
      <c r="Q279" t="str">
        <f>VLOOKUP(A279,snomed2,3,FALSE)</f>
        <v>648071000005100</v>
      </c>
      <c r="R279" s="117"/>
    </row>
    <row r="280" spans="1:19">
      <c r="A280" t="s">
        <v>288</v>
      </c>
      <c r="B280" s="30" t="s">
        <v>289</v>
      </c>
      <c r="P280" t="str">
        <f>VLOOKUP(A280,snomed2,2,FALSE)</f>
        <v>ugedage</v>
      </c>
      <c r="Q280" t="str">
        <f>VLOOKUP(A280,snomed2,3,FALSE)</f>
        <v>307144000</v>
      </c>
      <c r="R280" s="118" t="str">
        <f>IF(C280="","",VLOOKUP(C280,vand_snom,3,FALSE))</f>
        <v/>
      </c>
      <c r="S280" s="118" t="str">
        <f>IF(R280="","",VLOOKUP(R280,snomed,3,FALSE))</f>
        <v/>
      </c>
    </row>
    <row r="281" spans="1:19">
      <c r="A281" t="s">
        <v>290</v>
      </c>
      <c r="B281" s="30" t="s">
        <v>34</v>
      </c>
      <c r="P281" t="str">
        <f>VLOOKUP(A281,snomed2,2,FALSE)</f>
        <v>fødselsforberedelse</v>
      </c>
      <c r="Q281" t="str">
        <f>VLOOKUP(A281,snomed2,3,FALSE)</f>
        <v>386235000</v>
      </c>
      <c r="R281" s="118" t="str">
        <f>IF(C281="","",VLOOKUP(C281,vand_snom,3,FALSE))</f>
        <v/>
      </c>
      <c r="S281" s="118" t="str">
        <f>IF(R281="","",VLOOKUP(R281,snomed,3,FALSE))</f>
        <v/>
      </c>
    </row>
    <row r="282" spans="1:19">
      <c r="A282" t="s">
        <v>291</v>
      </c>
      <c r="B282" s="30" t="s">
        <v>292</v>
      </c>
      <c r="P282" t="str">
        <f>VLOOKUP(A282,snomed2,2,FALSE)</f>
        <v>konsultation - handling</v>
      </c>
      <c r="Q282" t="str">
        <f>VLOOKUP(A282,snomed2,3,FALSE)</f>
        <v>129430004</v>
      </c>
      <c r="R282" s="118" t="str">
        <f>IF(C282="","",VLOOKUP(C282,vand_snom,3,FALSE))</f>
        <v/>
      </c>
      <c r="S282" s="118" t="str">
        <f>IF(R282="","",VLOOKUP(R282,snomed,3,FALSE))</f>
        <v/>
      </c>
    </row>
    <row r="283" spans="1:19">
      <c r="A283" s="8" t="s">
        <v>285</v>
      </c>
      <c r="P283" t="str">
        <f>VLOOKUP(A283,snomed2,2,FALSE)</f>
        <v>tildelt jordemoderklinik</v>
      </c>
      <c r="Q283" t="str">
        <f>VLOOKUP(A283,snomed2,3,FALSE)</f>
        <v>648081000005102</v>
      </c>
      <c r="R283" s="117"/>
    </row>
    <row r="284" spans="1:19">
      <c r="A284" t="s">
        <v>282</v>
      </c>
      <c r="B284" s="30" t="s">
        <v>283</v>
      </c>
      <c r="R284" s="117"/>
    </row>
    <row r="285" spans="1:19">
      <c r="A285" t="s">
        <v>284</v>
      </c>
      <c r="B285" s="30" t="s">
        <v>283</v>
      </c>
      <c r="R285" s="117"/>
    </row>
    <row r="286" spans="1:19">
      <c r="A286" s="8" t="s">
        <v>286</v>
      </c>
      <c r="P286" t="str">
        <f>VLOOKUP(A286,snomed2,2,FALSE)</f>
        <v>ønsket jordemoderklinik</v>
      </c>
      <c r="Q286" t="str">
        <f>VLOOKUP(A286,snomed2,3,FALSE)</f>
        <v>648071000005100</v>
      </c>
      <c r="R286" s="117"/>
    </row>
    <row r="287" spans="1:19">
      <c r="A287" t="s">
        <v>282</v>
      </c>
      <c r="B287" s="30" t="s">
        <v>283</v>
      </c>
      <c r="R287" s="117"/>
    </row>
    <row r="288" spans="1:19">
      <c r="A288" t="s">
        <v>284</v>
      </c>
      <c r="B288" s="30" t="s">
        <v>283</v>
      </c>
      <c r="R288" s="117"/>
    </row>
    <row r="289" spans="1:19">
      <c r="A289" s="8" t="s">
        <v>293</v>
      </c>
      <c r="P289" t="str">
        <f>VLOOKUP(A289,snomed2,2,FALSE)</f>
        <v>sundhedsplejen</v>
      </c>
      <c r="Q289" t="str">
        <f>VLOOKUP(A289,snomed2,3,FALSE)</f>
        <v>554021000005101</v>
      </c>
      <c r="R289" s="117"/>
    </row>
    <row r="290" spans="1:19">
      <c r="A290" t="s">
        <v>282</v>
      </c>
      <c r="B290" s="30" t="s">
        <v>283</v>
      </c>
      <c r="R290" s="117"/>
    </row>
    <row r="291" spans="1:19">
      <c r="A291" t="s">
        <v>284</v>
      </c>
      <c r="B291" s="30" t="s">
        <v>283</v>
      </c>
      <c r="R291" s="117"/>
    </row>
    <row r="292" spans="1:19">
      <c r="A292" s="1" t="s">
        <v>294</v>
      </c>
      <c r="P292" t="str">
        <f>VLOOKUP(A292,snomed2,2,FALSE)</f>
        <v>almen klinisk tilstand</v>
      </c>
      <c r="Q292" t="str">
        <f>VLOOKUP(A292,snomed2,3,FALSE)</f>
        <v>278844005</v>
      </c>
      <c r="R292" s="117"/>
    </row>
    <row r="293" spans="1:19">
      <c r="A293" t="s">
        <v>294</v>
      </c>
      <c r="B293" s="30" t="s">
        <v>40</v>
      </c>
      <c r="P293" t="str">
        <f>VLOOKUP(A293,snomed2,2,FALSE)</f>
        <v>almen klinisk tilstand</v>
      </c>
      <c r="Q293" t="str">
        <f>VLOOKUP(A293,snomed2,3,FALSE)</f>
        <v>278844005</v>
      </c>
      <c r="R293" s="117"/>
    </row>
    <row r="294" spans="1:19">
      <c r="A294" t="s">
        <v>295</v>
      </c>
      <c r="B294" s="30" t="s">
        <v>49</v>
      </c>
      <c r="P294" t="str">
        <f>VLOOKUP(A294,snomed2,2,FALSE)</f>
        <v>vurdering af helbredsmæssige og sociale behov</v>
      </c>
      <c r="Q294" t="str">
        <f>VLOOKUP(A294,snomed2,3,FALSE)</f>
        <v>710824005</v>
      </c>
      <c r="R294" s="118" t="str">
        <f>IF(C294="","",VLOOKUP(C294,m_omsorg,3,FALSE))</f>
        <v/>
      </c>
      <c r="S294" s="118" t="str">
        <f>IF(R294="","",VLOOKUP(R294,snomed,3,FALSE))</f>
        <v/>
      </c>
    </row>
    <row r="295" spans="1:19">
      <c r="A295" t="s">
        <v>296</v>
      </c>
      <c r="B295" s="30" t="s">
        <v>142</v>
      </c>
      <c r="P295" t="str">
        <f>VLOOKUP(A295,snomed2,2,FALSE)</f>
        <v>henvisning mhp. obstetrisk og gynækologisk behandling</v>
      </c>
      <c r="Q295" t="str">
        <f>VLOOKUP(A295,snomed2,3,FALSE)</f>
        <v>306133003</v>
      </c>
      <c r="R295" s="118" t="str">
        <f>IF(C295="","",VLOOKUP(C295,vand_snom,3,FALSE))</f>
        <v/>
      </c>
      <c r="S295" s="118" t="str">
        <f>IF(R295="","",VLOOKUP(R295,snomed,3,FALSE))</f>
        <v/>
      </c>
    </row>
    <row r="296" spans="1:19">
      <c r="A296" t="s">
        <v>297</v>
      </c>
      <c r="B296" s="30" t="s">
        <v>76</v>
      </c>
      <c r="P296" t="str">
        <f>VLOOKUP(A296,snomed2,2,FALSE)</f>
        <v>indikation for procedure</v>
      </c>
      <c r="Q296" t="str">
        <f>VLOOKUP(A296,snomed2,3,FALSE)</f>
        <v>432678004</v>
      </c>
      <c r="R296" s="117"/>
    </row>
    <row r="297" spans="1:19">
      <c r="A297" t="s">
        <v>298</v>
      </c>
      <c r="B297" s="30" t="s">
        <v>34</v>
      </c>
      <c r="P297" t="str">
        <f>VLOOKUP(A297,snomed2,2,FALSE)</f>
        <v>henvisning til social- og sundhedsforvaltning</v>
      </c>
      <c r="Q297" t="str">
        <f>VLOOKUP(A297,snomed2,3,FALSE)</f>
        <v>306238000</v>
      </c>
      <c r="R297" s="118" t="str">
        <f>IF(C297="","",VLOOKUP(C297,vand_snom,3,FALSE))</f>
        <v/>
      </c>
      <c r="S297" s="118" t="str">
        <f>IF(R297="","",VLOOKUP(R297,snomed,3,FALSE))</f>
        <v/>
      </c>
    </row>
    <row r="298" spans="1:19">
      <c r="A298" t="s">
        <v>299</v>
      </c>
      <c r="B298" s="30" t="s">
        <v>40</v>
      </c>
      <c r="P298" t="str">
        <f>VLOOKUP(A298,snomed2,2,FALSE)</f>
        <v>indikation for procedure</v>
      </c>
      <c r="Q298" t="str">
        <f>VLOOKUP(A298,snomed2,3,FALSE)</f>
        <v>432678004</v>
      </c>
      <c r="R298" s="117"/>
    </row>
    <row r="299" spans="1:19">
      <c r="A299" t="s">
        <v>300</v>
      </c>
      <c r="B299" s="30" t="s">
        <v>34</v>
      </c>
      <c r="P299" t="str">
        <f>VLOOKUP(A299,snomed2,2,FALSE)</f>
        <v>flerfoldsgraviditet</v>
      </c>
      <c r="Q299" t="str">
        <f>VLOOKUP(A299,snomed2,3,FALSE)</f>
        <v>16356006</v>
      </c>
      <c r="R299" s="118" t="str">
        <f>IF(C299="","",VLOOKUP(C299,vand_snom,3,FALSE))</f>
        <v/>
      </c>
      <c r="S299" s="118" t="str">
        <f>IF(R299="","",VLOOKUP(R299,snomed,3,FALSE))</f>
        <v/>
      </c>
    </row>
    <row r="300" spans="1:19">
      <c r="A300" t="s">
        <v>301</v>
      </c>
      <c r="B300" s="30" t="s">
        <v>76</v>
      </c>
      <c r="P300" t="str">
        <f>VLOOKUP(A300,snomed2,2,FALSE)</f>
        <v>træk vedr. flerfoldsgraviditet med risikofaktorer</v>
      </c>
      <c r="Q300" t="str">
        <f>VLOOKUP(A300,snomed2,3,FALSE)</f>
        <v>648101000005108</v>
      </c>
      <c r="R300" s="117"/>
    </row>
    <row r="301" spans="1:19">
      <c r="A301" s="1" t="s">
        <v>302</v>
      </c>
      <c r="P301" t="str">
        <f>VLOOKUP(A301,snomed2,2,FALSE)</f>
        <v>Resume</v>
      </c>
      <c r="Q301" t="str">
        <f>VLOOKUP(A301,snomed2,3,FALSE)</f>
        <v>371534008</v>
      </c>
      <c r="R301" s="117"/>
    </row>
    <row r="302" spans="1:19">
      <c r="A302" t="s">
        <v>302</v>
      </c>
      <c r="B302" s="30" t="s">
        <v>76</v>
      </c>
      <c r="C302" s="41" t="s">
        <v>305</v>
      </c>
      <c r="P302" t="str">
        <f>VLOOKUP(A302,snomed2,2,FALSE)</f>
        <v>Resume</v>
      </c>
      <c r="Q302" t="str">
        <f>VLOOKUP(A302,snomed2,3,FALSE)</f>
        <v>371534008</v>
      </c>
      <c r="R302" s="117"/>
    </row>
    <row r="303" spans="1:19">
      <c r="A303" s="26"/>
      <c r="R303" s="119"/>
    </row>
    <row r="304" spans="1:19" ht="24">
      <c r="A304" s="25" t="s">
        <v>306</v>
      </c>
      <c r="B304" s="31"/>
      <c r="C304" s="1" t="s">
        <v>27</v>
      </c>
      <c r="D304" s="33" t="s">
        <v>186</v>
      </c>
      <c r="E304" s="1" t="s">
        <v>29</v>
      </c>
      <c r="R304" s="116"/>
    </row>
    <row r="305" spans="1:19">
      <c r="A305" s="25" t="s">
        <v>28</v>
      </c>
      <c r="B305" s="24" t="str">
        <f>IF(C305="","",VLOOKUP(C305,AftalerDatoer!$C$3:$G$26,4,FALSE))</f>
        <v/>
      </c>
      <c r="C305" s="20"/>
      <c r="D305" s="19" t="str">
        <f>IF(C305="","",VLOOKUP(C305,AftalerDatoer!$C$3:$E$26,2,FALSE))</f>
        <v/>
      </c>
      <c r="E305" t="str" cm="1">
        <f t="array" ref="E305">_xlfn.IFS(C305="","",VLOOKUP(C305,AftalerDatoer!$C$3:$H$26,4,FALSE)="SM",VLOOKUP(C305,AftalerDatoer!$C$3:$H$26,3,FALSE),VLOOKUP(C305,AftalerDatoer!$C$3:$H$26,4,FALSE)="UL",VLOOKUP(C305,AftalerDatoer!$C$3:$H$26,5,FALSE))</f>
        <v/>
      </c>
      <c r="R305" s="117"/>
    </row>
    <row r="306" spans="1:19">
      <c r="A306" s="25" t="s">
        <v>188</v>
      </c>
      <c r="P306" t="str">
        <f>VLOOKUP(A306,snomed2,2,FALSE)</f>
        <v>beregnet terminsdato</v>
      </c>
      <c r="Q306" t="str">
        <f>VLOOKUP(A306,snomed2,3,FALSE)</f>
        <v>161714006</v>
      </c>
      <c r="R306" s="117"/>
    </row>
    <row r="307" spans="1:19">
      <c r="A307" s="26" t="s">
        <v>189</v>
      </c>
      <c r="B307" s="30" t="s">
        <v>28</v>
      </c>
      <c r="P307" t="str">
        <f>VLOOKUP(A307,snomed2,2,FALSE)</f>
        <v>seneste menstruationsperiodes 1. dag</v>
      </c>
      <c r="Q307" t="str">
        <f>VLOOKUP(A307,snomed2,3,FALSE)</f>
        <v>161713000</v>
      </c>
      <c r="R307" s="117"/>
    </row>
    <row r="308" spans="1:19">
      <c r="A308" s="26" t="s">
        <v>190</v>
      </c>
      <c r="B308" s="30" t="s">
        <v>191</v>
      </c>
      <c r="P308" t="str">
        <f>VLOOKUP(A308,snomed2,2,FALSE)</f>
        <v>varighed af menstruationscyklus</v>
      </c>
      <c r="Q308" t="str">
        <f>VLOOKUP(A308,snomed2,3,FALSE)</f>
        <v>364310004</v>
      </c>
      <c r="R308" s="117"/>
    </row>
    <row r="309" spans="1:19">
      <c r="A309" s="26" t="s">
        <v>192</v>
      </c>
      <c r="B309" s="30" t="s">
        <v>28</v>
      </c>
      <c r="P309" t="str">
        <f>VLOOKUP(A309,snomed2,2,FALSE)</f>
        <v>beregnet terminsdato fra seneste menstruation</v>
      </c>
      <c r="Q309" t="str">
        <f>VLOOKUP(A309,snomed2,3,FALSE)</f>
        <v>289206005</v>
      </c>
      <c r="R309" s="117"/>
    </row>
    <row r="310" spans="1:19">
      <c r="A310" s="26" t="s">
        <v>194</v>
      </c>
      <c r="B310" s="30" t="s">
        <v>34</v>
      </c>
      <c r="P310" t="str">
        <f>VLOOKUP(A310,snomed2,2,FALSE)</f>
        <v>graviditet med sikker termin</v>
      </c>
      <c r="Q310" t="str">
        <f>VLOOKUP(A310,snomed2,3,FALSE)</f>
        <v>567941000005109</v>
      </c>
      <c r="R310" s="118" t="str">
        <f>IF(C310="","",VLOOKUP(C310,vand_snom,3,FALSE))</f>
        <v/>
      </c>
      <c r="S310" s="118" t="str">
        <f>IF(R310="","",VLOOKUP(R310,snomed,3,FALSE))</f>
        <v/>
      </c>
    </row>
    <row r="311" spans="1:19">
      <c r="A311" s="26" t="s">
        <v>115</v>
      </c>
      <c r="B311" s="30" t="s">
        <v>76</v>
      </c>
      <c r="P311" t="str">
        <f>VLOOKUP(A311,snomed2,2,FALSE)</f>
        <v>relevant information</v>
      </c>
      <c r="Q311" t="str">
        <f>VLOOKUP(A311,snomed2,3,FALSE)</f>
        <v>398005008</v>
      </c>
      <c r="R311" s="117"/>
    </row>
    <row r="312" spans="1:19">
      <c r="A312" s="25" t="s">
        <v>195</v>
      </c>
      <c r="R312" s="117"/>
    </row>
    <row r="313" spans="1:19">
      <c r="A313" s="26" t="s">
        <v>196</v>
      </c>
      <c r="B313" s="30" t="s">
        <v>49</v>
      </c>
      <c r="P313" t="str">
        <f>VLOOKUP(A313,snomed2,2,FALSE)</f>
        <v>gennemført uddannelse</v>
      </c>
      <c r="Q313" t="str">
        <f>VLOOKUP(A313,snomed2,3,FALSE)</f>
        <v>105421008</v>
      </c>
      <c r="R313" s="118" t="str">
        <f>IF(C313="","",VLOOKUP(C313,vand_snom,3,FALSE))</f>
        <v/>
      </c>
      <c r="S313" s="118" t="str">
        <f>IF(R313="","",VLOOKUP(R313,snomed,3,FALSE))</f>
        <v/>
      </c>
    </row>
    <row r="314" spans="1:19">
      <c r="A314" s="26" t="s">
        <v>197</v>
      </c>
      <c r="B314" s="30" t="s">
        <v>40</v>
      </c>
      <c r="P314" t="str">
        <f>VLOOKUP(A314,snomed2,2,FALSE)</f>
        <v>relevant information</v>
      </c>
      <c r="Q314" t="str">
        <f>VLOOKUP(A314,snomed2,3,FALSE)</f>
        <v>398005008</v>
      </c>
      <c r="R314" s="117"/>
    </row>
    <row r="315" spans="1:19">
      <c r="A315" s="26" t="s">
        <v>198</v>
      </c>
      <c r="B315" s="30" t="s">
        <v>49</v>
      </c>
      <c r="P315" t="str">
        <f>VLOOKUP(A315,snomed2,2,FALSE)</f>
        <v>oplysning om beskæftigelse</v>
      </c>
      <c r="Q315" t="str">
        <f>VLOOKUP(A315,snomed2,3,FALSE)</f>
        <v>364703007</v>
      </c>
      <c r="R315" s="118" t="str">
        <f>IF(C315="","",VLOOKUP(C315,vand_snom,3,FALSE))</f>
        <v/>
      </c>
      <c r="S315" s="118" t="str">
        <f>IF(R315="","",VLOOKUP(R315,snomed,3,FALSE))</f>
        <v/>
      </c>
    </row>
    <row r="316" spans="1:19">
      <c r="A316" s="26" t="s">
        <v>199</v>
      </c>
      <c r="B316" s="30" t="s">
        <v>40</v>
      </c>
      <c r="P316" t="str">
        <f>VLOOKUP(A316,snomed2,2,FALSE)</f>
        <v>relevant information</v>
      </c>
      <c r="Q316" t="str">
        <f>VLOOKUP(A316,snomed2,3,FALSE)</f>
        <v>398005008</v>
      </c>
      <c r="R316" s="117"/>
    </row>
    <row r="317" spans="1:19">
      <c r="A317" s="26" t="s">
        <v>200</v>
      </c>
      <c r="B317" s="30" t="s">
        <v>49</v>
      </c>
      <c r="P317" t="str">
        <f>VLOOKUP(A317,snomed2,2,FALSE)</f>
        <v>status for modtagelse af ydelse</v>
      </c>
      <c r="Q317" t="str">
        <f>VLOOKUP(A317,snomed2,3,FALSE)</f>
        <v>228163007</v>
      </c>
      <c r="R317" s="118" t="str">
        <f>IF(C317="","",VLOOKUP(C317,vand_snom,3,FALSE))</f>
        <v/>
      </c>
      <c r="S317" s="118" t="str">
        <f>IF(R317="","",VLOOKUP(R317,snomed,3,FALSE))</f>
        <v/>
      </c>
    </row>
    <row r="318" spans="1:19">
      <c r="A318" s="25" t="s">
        <v>201</v>
      </c>
      <c r="R318" s="117"/>
    </row>
    <row r="319" spans="1:19">
      <c r="A319" s="26" t="s">
        <v>203</v>
      </c>
      <c r="B319" s="30" t="s">
        <v>34</v>
      </c>
      <c r="P319" t="str">
        <f>VLOOKUP(A319,snomed2,2,FALSE)</f>
        <v>røg før bekræftet graviditet</v>
      </c>
      <c r="Q319" t="str">
        <f>VLOOKUP(A319,snomed2,3,FALSE)</f>
        <v>449345000</v>
      </c>
      <c r="R319" s="118" t="str">
        <f>IF(C319="","",VLOOKUP(C319,vand_snom,3,FALSE))</f>
        <v/>
      </c>
      <c r="S319" s="118" t="str">
        <f>IF(R319="","",VLOOKUP(R319,snomed,3,FALSE))</f>
        <v/>
      </c>
    </row>
    <row r="320" spans="1:19">
      <c r="A320" s="26" t="s">
        <v>206</v>
      </c>
      <c r="B320" s="30" t="s">
        <v>49</v>
      </c>
      <c r="P320" t="str">
        <f>VLOOKUP(A320,snomed2,2,FALSE)</f>
        <v>moders forbrug af røgtobak under graviditet</v>
      </c>
      <c r="Q320" t="str">
        <f>VLOOKUP(A320,snomed2,3,FALSE)</f>
        <v>598171000005102</v>
      </c>
      <c r="R320" s="118" t="str">
        <f>IF(C320="","",VLOOKUP(C320,vand_snom,3,FALSE))</f>
        <v/>
      </c>
      <c r="S320" s="118" t="str">
        <f>IF(R320="","",VLOOKUP(R320,snomed,3,FALSE))</f>
        <v/>
      </c>
    </row>
    <row r="321" spans="1:19">
      <c r="A321" s="26" t="s">
        <v>209</v>
      </c>
      <c r="B321" s="30" t="s">
        <v>28</v>
      </c>
      <c r="P321" t="str">
        <f>VLOOKUP(A321,snomed2,2,FALSE)</f>
        <v>dato for rygeophør</v>
      </c>
      <c r="Q321" t="str">
        <f>VLOOKUP(A321,snomed2,3,FALSE)</f>
        <v>160625004</v>
      </c>
      <c r="R321" s="117"/>
    </row>
    <row r="322" spans="1:19">
      <c r="A322" s="26" t="s">
        <v>212</v>
      </c>
      <c r="B322" s="30" t="s">
        <v>34</v>
      </c>
      <c r="P322" t="str">
        <f>VLOOKUP(A322,snomed2,2,FALSE)</f>
        <v>udsat for tobaksrøg i hjemmet</v>
      </c>
      <c r="Q322" t="str">
        <f>VLOOKUP(A322,snomed2,3,FALSE)</f>
        <v>228524006</v>
      </c>
      <c r="R322" s="118" t="str">
        <f>IF(C322="","",VLOOKUP(C322,vand_snom,3,FALSE))</f>
        <v/>
      </c>
      <c r="S322" s="118" t="str">
        <f>IF(R322="","",VLOOKUP(R322,snomed,3,FALSE))</f>
        <v/>
      </c>
    </row>
    <row r="323" spans="1:19">
      <c r="A323" s="26" t="s">
        <v>215</v>
      </c>
      <c r="B323" s="30" t="s">
        <v>34</v>
      </c>
      <c r="P323" t="str">
        <f>VLOOKUP(A323,snomed2,2,FALSE)</f>
        <v>udsat for tobaksrøg på jobbet</v>
      </c>
      <c r="Q323" t="str">
        <f>VLOOKUP(A323,snomed2,3,FALSE)</f>
        <v>228523000</v>
      </c>
      <c r="R323" s="118" t="str">
        <f>IF(C323="","",VLOOKUP(C323,vand_snom,3,FALSE))</f>
        <v/>
      </c>
      <c r="S323" s="118" t="str">
        <f>IF(R323="","",VLOOKUP(R323,snomed,3,FALSE))</f>
        <v/>
      </c>
    </row>
    <row r="324" spans="1:19">
      <c r="A324" s="26" t="s">
        <v>218</v>
      </c>
      <c r="B324" s="30" t="s">
        <v>49</v>
      </c>
      <c r="P324" t="str">
        <f>VLOOKUP(A324,snomed2,2,FALSE)</f>
        <v>henvisning til rygestopklinik</v>
      </c>
      <c r="Q324" t="str">
        <f>VLOOKUP(A324,snomed2,3,FALSE)</f>
        <v>315232003</v>
      </c>
      <c r="R324" s="118" t="str">
        <f>IF(C324="","",VLOOKUP(C324,m_htton,3,FALSE))</f>
        <v/>
      </c>
      <c r="S324" s="118" t="str">
        <f>IF(R324="","",VLOOKUP(R324,snomed,3,FALSE))</f>
        <v/>
      </c>
    </row>
    <row r="325" spans="1:19">
      <c r="A325" s="26" t="s">
        <v>221</v>
      </c>
      <c r="B325" s="30" t="s">
        <v>34</v>
      </c>
      <c r="P325" t="str">
        <f>VLOOKUP(A325,snomed2,2,FALSE)</f>
        <v>bruger af nicotin før bekræftet graviditet</v>
      </c>
      <c r="Q325" t="str">
        <f>VLOOKUP(A325,snomed2,3,FALSE)</f>
        <v>598091000005102</v>
      </c>
      <c r="R325" s="118" t="str">
        <f>IF(C325="","",VLOOKUP(C325,vand_snom,3,FALSE))</f>
        <v/>
      </c>
      <c r="S325" s="118" t="str">
        <f>IF(R325="","",VLOOKUP(R325,snomed,3,FALSE))</f>
        <v/>
      </c>
    </row>
    <row r="326" spans="1:19">
      <c r="A326" s="26" t="s">
        <v>224</v>
      </c>
      <c r="B326" s="30" t="s">
        <v>49</v>
      </c>
      <c r="P326" t="str">
        <f>VLOOKUP(A326,snomed2,2,FALSE)</f>
        <v>bruger af nicotin under graviditet</v>
      </c>
      <c r="Q326" t="str">
        <f>VLOOKUP(A326,snomed2,3,FALSE)</f>
        <v>598221000005106</v>
      </c>
      <c r="R326" s="118" t="str">
        <f>IF(C326="","",VLOOKUP(C326,m_bruNit,3,FALSE))</f>
        <v/>
      </c>
      <c r="S326" s="118" t="str">
        <f>IF(R326="","",VLOOKUP(R326,snomed,3,FALSE))</f>
        <v/>
      </c>
    </row>
    <row r="327" spans="1:19">
      <c r="A327" s="26" t="s">
        <v>227</v>
      </c>
      <c r="B327" s="30" t="s">
        <v>28</v>
      </c>
      <c r="P327" t="str">
        <f>VLOOKUP(A327,snomed2,2,FALSE)</f>
        <v>dato for ophør med brug af nicotin</v>
      </c>
      <c r="Q327" t="str">
        <f>VLOOKUP(A327,snomed2,3,FALSE)</f>
        <v>598261000005102</v>
      </c>
      <c r="R327" s="117"/>
    </row>
    <row r="328" spans="1:19">
      <c r="A328" s="25" t="s">
        <v>230</v>
      </c>
      <c r="P328" t="str">
        <f>VLOOKUP(A328,snomed2,2,FALSE)</f>
        <v>adfærd i relation til brug af stof</v>
      </c>
      <c r="Q328" t="str">
        <f>VLOOKUP(A328,snomed2,3,FALSE)</f>
        <v>1187057000</v>
      </c>
      <c r="R328" s="117"/>
    </row>
    <row r="329" spans="1:19">
      <c r="A329" s="26" t="s">
        <v>233</v>
      </c>
      <c r="B329" s="30" t="s">
        <v>34</v>
      </c>
      <c r="P329" t="str">
        <f>VLOOKUP(A329,snomed2,2,FALSE)</f>
        <v>nikotinpose</v>
      </c>
      <c r="Q329" t="str">
        <f>VLOOKUP(A329,snomed2,3,FALSE)</f>
        <v>598111000005109</v>
      </c>
      <c r="R329" s="118" t="str">
        <f>IF(C329="","",VLOOKUP(C329,vand_snom,3,FALSE))</f>
        <v/>
      </c>
      <c r="S329" s="118" t="str">
        <f>IF(R329="","",VLOOKUP(R329,snomed,3,FALSE))</f>
        <v/>
      </c>
    </row>
    <row r="330" spans="1:19">
      <c r="A330" s="26" t="s">
        <v>236</v>
      </c>
      <c r="B330" s="30" t="s">
        <v>43</v>
      </c>
      <c r="P330" t="str">
        <f>VLOOKUP(A330,snomed2,2,FALSE)</f>
        <v>E/dag</v>
      </c>
      <c r="Q330" t="str">
        <f>VLOOKUP(A330,snomed2,3,FALSE)</f>
        <v>258950000</v>
      </c>
      <c r="R330" s="117"/>
    </row>
    <row r="331" spans="1:19">
      <c r="A331" s="26" t="s">
        <v>239</v>
      </c>
      <c r="B331" s="30" t="s">
        <v>34</v>
      </c>
      <c r="P331" t="str">
        <f>VLOOKUP(A331,snomed2,2,FALSE)</f>
        <v>nikotintyggegummi</v>
      </c>
      <c r="Q331" t="str">
        <f>VLOOKUP(A331,snomed2,3,FALSE)</f>
        <v>598101000005106</v>
      </c>
      <c r="R331" s="118" t="str">
        <f>IF(C331="","",VLOOKUP(C331,vand_snom,3,FALSE))</f>
        <v/>
      </c>
      <c r="S331" s="118" t="str">
        <f>IF(R331="","",VLOOKUP(R331,snomed,3,FALSE))</f>
        <v/>
      </c>
    </row>
    <row r="332" spans="1:19">
      <c r="A332" s="26" t="s">
        <v>242</v>
      </c>
      <c r="B332" s="30" t="s">
        <v>70</v>
      </c>
      <c r="P332" t="str">
        <f>VLOOKUP(A332,snomed2,2,FALSE)</f>
        <v>E/dag</v>
      </c>
      <c r="Q332" t="str">
        <f>VLOOKUP(A332,snomed2,3,FALSE)</f>
        <v>258950000</v>
      </c>
      <c r="R332" s="117"/>
    </row>
    <row r="333" spans="1:19">
      <c r="A333" s="26" t="s">
        <v>245</v>
      </c>
      <c r="B333" s="30" t="s">
        <v>34</v>
      </c>
      <c r="P333" t="str">
        <f>VLOOKUP(A333,snomed2,2,FALSE)</f>
        <v>elektronisk cigaret</v>
      </c>
      <c r="Q333" t="str">
        <f>VLOOKUP(A333,snomed2,3,FALSE)</f>
        <v>722498003</v>
      </c>
      <c r="R333" s="118" t="str">
        <f>IF(C333="","",VLOOKUP(C333,vand_snom,3,FALSE))</f>
        <v/>
      </c>
      <c r="S333" s="118" t="str">
        <f>IF(R333="","",VLOOKUP(R333,snomed,3,FALSE))</f>
        <v/>
      </c>
    </row>
    <row r="334" spans="1:19">
      <c r="A334" s="26" t="s">
        <v>248</v>
      </c>
      <c r="B334" s="30" t="s">
        <v>43</v>
      </c>
      <c r="P334" t="str">
        <f>VLOOKUP(A334,snomed2,2,FALSE)</f>
        <v>ml/dag</v>
      </c>
      <c r="Q334" t="str">
        <f>VLOOKUP(A334,snomed2,3,FALSE)</f>
        <v>258860005</v>
      </c>
      <c r="R334" s="117"/>
    </row>
    <row r="335" spans="1:19">
      <c r="A335" s="26" t="s">
        <v>249</v>
      </c>
      <c r="B335" s="30" t="s">
        <v>34</v>
      </c>
      <c r="P335" t="str">
        <f>VLOOKUP(A335,snomed2,2,FALSE)</f>
        <v>tyggetobak</v>
      </c>
      <c r="Q335" t="str">
        <f>VLOOKUP(A335,snomed2,3,FALSE)</f>
        <v>81911001</v>
      </c>
      <c r="R335" s="118" t="str">
        <f>IF(C335="","",VLOOKUP(C335,vand_snom,3,FALSE))</f>
        <v/>
      </c>
      <c r="S335" s="118" t="str">
        <f>IF(R335="","",VLOOKUP(R335,snomed,3,FALSE))</f>
        <v/>
      </c>
    </row>
    <row r="336" spans="1:19">
      <c r="A336" s="26" t="s">
        <v>250</v>
      </c>
      <c r="B336" s="30" t="s">
        <v>70</v>
      </c>
      <c r="P336" t="str">
        <f>VLOOKUP(A336,snomed2,2,FALSE)</f>
        <v>E/dag</v>
      </c>
      <c r="Q336" t="str">
        <f>VLOOKUP(A336,snomed2,3,FALSE)</f>
        <v>258950000</v>
      </c>
      <c r="R336" s="117"/>
    </row>
    <row r="337" spans="1:19">
      <c r="A337" s="26" t="s">
        <v>251</v>
      </c>
      <c r="B337" s="30" t="s">
        <v>34</v>
      </c>
      <c r="R337" s="118" t="str">
        <f>IF(C337="","",VLOOKUP(C337,vand_snom,3,FALSE))</f>
        <v/>
      </c>
      <c r="S337" s="118" t="str">
        <f>IF(R337="","",VLOOKUP(R337,snomed,3,FALSE))</f>
        <v/>
      </c>
    </row>
    <row r="338" spans="1:19">
      <c r="A338" s="26" t="s">
        <v>252</v>
      </c>
      <c r="B338" s="30" t="s">
        <v>49</v>
      </c>
      <c r="P338" t="str">
        <f>VLOOKUP(A338,snomed2,2,FALSE)</f>
        <v>vandpibe</v>
      </c>
      <c r="Q338" t="str">
        <f>VLOOKUP(A338,snomed2,3,FALSE)</f>
        <v>722495000</v>
      </c>
      <c r="R338" s="118" t="str">
        <f>IF(C338="","",VLOOKUP(C338,m_vandpibe,3,FALSE))</f>
        <v/>
      </c>
      <c r="S338" s="118" t="str">
        <f>IF(R338="","",VLOOKUP(R338,snomed,3,FALSE))</f>
        <v/>
      </c>
    </row>
    <row r="339" spans="1:19">
      <c r="A339" s="26" t="s">
        <v>253</v>
      </c>
      <c r="B339" s="30" t="s">
        <v>76</v>
      </c>
      <c r="P339" t="str">
        <f>VLOOKUP(A339,snomed2,2,FALSE)</f>
        <v>eksponering for potentielt skadeligt emne</v>
      </c>
      <c r="Q339" t="str">
        <f>VLOOKUP(A339,snomed2,3,FALSE)</f>
        <v>418715001</v>
      </c>
      <c r="R339" s="117"/>
    </row>
    <row r="340" spans="1:19">
      <c r="A340" s="25" t="s">
        <v>254</v>
      </c>
      <c r="P340" t="str">
        <f>VLOOKUP(A340,snomed2,2,FALSE)</f>
        <v>detaljer vedr. adfærd ifm. indtag af alkohol</v>
      </c>
      <c r="Q340" t="str">
        <f>VLOOKUP(A340,snomed2,3,FALSE)</f>
        <v>363905002</v>
      </c>
      <c r="R340" s="117"/>
    </row>
    <row r="341" spans="1:19">
      <c r="A341" s="26" t="s">
        <v>255</v>
      </c>
      <c r="B341" s="30" t="s">
        <v>34</v>
      </c>
      <c r="P341" t="str">
        <f>VLOOKUP(A341,snomed2,2,FALSE)</f>
        <v>bruger af alkohol før bekræftet graviditet</v>
      </c>
      <c r="Q341" t="str">
        <f>VLOOKUP(A341,snomed2,3,FALSE)</f>
        <v>568171000005100</v>
      </c>
      <c r="R341" s="118" t="str">
        <f>IF(C341="","",VLOOKUP(C341,vand_snom,3,FALSE))</f>
        <v/>
      </c>
      <c r="S341" s="118" t="str">
        <f>IF(R341="","",VLOOKUP(R341,snomed,3,FALSE))</f>
        <v/>
      </c>
    </row>
    <row r="342" spans="1:19">
      <c r="A342" s="26" t="s">
        <v>256</v>
      </c>
      <c r="B342" s="30" t="s">
        <v>43</v>
      </c>
      <c r="P342" t="str">
        <f>VLOOKUP(A342,snomed2,2,FALSE)</f>
        <v>alkoholgenstande/uge</v>
      </c>
      <c r="Q342" t="str">
        <f>VLOOKUP(A342,snomed2,3,FALSE)</f>
        <v>228958009</v>
      </c>
      <c r="R342" s="117"/>
    </row>
    <row r="343" spans="1:19">
      <c r="A343" s="26" t="s">
        <v>257</v>
      </c>
      <c r="B343" s="30" t="s">
        <v>34</v>
      </c>
      <c r="P343" t="str">
        <f>VLOOKUP(A343,snomed2,2,FALSE)</f>
        <v>alkoholindtag under graviditet</v>
      </c>
      <c r="Q343" t="str">
        <f>VLOOKUP(A343,snomed2,3,FALSE)</f>
        <v>427013000</v>
      </c>
      <c r="R343" s="118" t="str">
        <f>IF(C343="","",VLOOKUP(C343,vand_snom,3,FALSE))</f>
        <v/>
      </c>
      <c r="S343" s="118" t="str">
        <f>IF(R343="","",VLOOKUP(R343,snomed,3,FALSE))</f>
        <v/>
      </c>
    </row>
    <row r="344" spans="1:19">
      <c r="A344" s="26" t="s">
        <v>258</v>
      </c>
      <c r="B344" s="30" t="s">
        <v>70</v>
      </c>
      <c r="P344" t="str">
        <f>VLOOKUP(A344,snomed2,2,FALSE)</f>
        <v>alkoholgenstande/uge</v>
      </c>
      <c r="Q344" t="str">
        <f>VLOOKUP(A344,snomed2,3,FALSE)</f>
        <v>228958009</v>
      </c>
      <c r="R344" s="117"/>
    </row>
    <row r="345" spans="1:19">
      <c r="A345" s="26" t="s">
        <v>259</v>
      </c>
      <c r="B345" s="30" t="s">
        <v>70</v>
      </c>
      <c r="P345" t="str">
        <f>VLOOKUP(A345,snomed2,2,FALSE)</f>
        <v>binge-drinking</v>
      </c>
      <c r="Q345" t="str">
        <f>VLOOKUP(A345,snomed2,3,FALSE)</f>
        <v>228326007</v>
      </c>
      <c r="R345" s="117"/>
    </row>
    <row r="346" spans="1:19">
      <c r="A346" s="26" t="s">
        <v>260</v>
      </c>
      <c r="B346" s="30" t="s">
        <v>76</v>
      </c>
      <c r="P346" t="str">
        <f>VLOOKUP(A346,snomed2,2,FALSE)</f>
        <v>graviditetsuge</v>
      </c>
      <c r="Q346" t="str">
        <f>VLOOKUP(A346,snomed2,3,FALSE)</f>
        <v>598141000005108</v>
      </c>
      <c r="R346" s="117"/>
    </row>
    <row r="347" spans="1:19">
      <c r="A347" s="26" t="s">
        <v>261</v>
      </c>
      <c r="B347" s="30" t="s">
        <v>49</v>
      </c>
      <c r="P347" t="str">
        <f>VLOOKUP(A347,snomed2,2,FALSE)</f>
        <v>TWEAK-score</v>
      </c>
      <c r="Q347" t="str">
        <f>VLOOKUP(A347,snomed2,3,FALSE)</f>
        <v>568251000005102</v>
      </c>
      <c r="R347" s="117"/>
    </row>
    <row r="348" spans="1:19">
      <c r="A348" s="25" t="s">
        <v>262</v>
      </c>
      <c r="P348" t="str">
        <f>VLOOKUP(A348,snomed2,2,FALSE)</f>
        <v>detaljer vedr. adfærd i relation til brug af stof</v>
      </c>
      <c r="Q348" t="str">
        <f>VLOOKUP(A348,snomed2,3,FALSE)</f>
        <v>363908000</v>
      </c>
      <c r="R348" s="117"/>
    </row>
    <row r="349" spans="1:19" ht="29.25">
      <c r="A349" s="27" t="s">
        <v>263</v>
      </c>
      <c r="B349" s="30" t="s">
        <v>34</v>
      </c>
      <c r="P349" t="str">
        <f>VLOOKUP(A349,snomed2,2,FALSE)</f>
        <v>træk vedr. stof</v>
      </c>
      <c r="Q349" t="str">
        <f>VLOOKUP(A349,snomed2,3,FALSE)</f>
        <v>361055000</v>
      </c>
      <c r="R349" s="118" t="str">
        <f>IF(C349="","",VLOOKUP(C349,vand_snom,3,FALSE))</f>
        <v/>
      </c>
      <c r="S349" s="118" t="str">
        <f>IF(R349="","",VLOOKUP(R349,snomed,3,FALSE))</f>
        <v/>
      </c>
    </row>
    <row r="350" spans="1:19">
      <c r="A350" s="26" t="s">
        <v>264</v>
      </c>
      <c r="B350" s="30" t="s">
        <v>74</v>
      </c>
      <c r="C350" s="1" t="s">
        <v>265</v>
      </c>
      <c r="D350" s="1"/>
      <c r="P350" t="str">
        <f>VLOOKUP(A350,snomed2,2,FALSE)</f>
        <v>træk vedr. stof</v>
      </c>
      <c r="Q350" t="str">
        <f>VLOOKUP(A350,snomed2,3,FALSE)</f>
        <v>373063009</v>
      </c>
      <c r="R350" s="117"/>
    </row>
    <row r="351" spans="1:19">
      <c r="A351" s="26" t="s">
        <v>266</v>
      </c>
      <c r="D351" t="str">
        <f>IF(C351="","",VLOOKUP(C351,RM_kat,2,FALSE))</f>
        <v/>
      </c>
      <c r="R351" s="118" t="str">
        <f>IF(C351="","",VLOOKUP(C351,vand_snom,3,FALSE))</f>
        <v/>
      </c>
      <c r="S351" s="118" t="str">
        <f>IF(R351="","",VLOOKUP(R351,snomed,3,FALSE))</f>
        <v/>
      </c>
    </row>
    <row r="352" spans="1:19">
      <c r="A352" s="26" t="s">
        <v>266</v>
      </c>
      <c r="D352" t="str">
        <f>IF(C352="","",VLOOKUP(C352,RM_kat,2,FALSE))</f>
        <v/>
      </c>
      <c r="R352" s="118" t="str">
        <f>IF(C352="","",VLOOKUP(C352,vand_snom,3,FALSE))</f>
        <v/>
      </c>
      <c r="S352" s="118" t="str">
        <f>IF(R352="","",VLOOKUP(R352,snomed,3,FALSE))</f>
        <v/>
      </c>
    </row>
    <row r="353" spans="1:19">
      <c r="A353" s="26" t="s">
        <v>266</v>
      </c>
      <c r="D353" t="str">
        <f>IF(C353="","",VLOOKUP(C353,RM_kat,2,FALSE))</f>
        <v/>
      </c>
      <c r="R353" s="118" t="str">
        <f>IF(C353="","",VLOOKUP(C353,vand_snom,3,FALSE))</f>
        <v/>
      </c>
      <c r="S353" s="118" t="str">
        <f>IF(R353="","",VLOOKUP(R353,snomed,3,FALSE))</f>
        <v/>
      </c>
    </row>
    <row r="354" spans="1:19">
      <c r="A354" s="26" t="s">
        <v>266</v>
      </c>
      <c r="D354" t="str">
        <f>IF(C354="","",VLOOKUP(C354,RM_kat,2,FALSE))</f>
        <v/>
      </c>
      <c r="R354" s="118" t="str">
        <f>IF(C354="","",VLOOKUP(C354,vand_snom,3,FALSE))</f>
        <v/>
      </c>
      <c r="S354" s="118" t="str">
        <f>IF(R354="","",VLOOKUP(R354,snomed,3,FALSE))</f>
        <v/>
      </c>
    </row>
    <row r="355" spans="1:19">
      <c r="A355" s="26" t="s">
        <v>266</v>
      </c>
      <c r="R355" s="118" t="str">
        <f>IF(C355="","",VLOOKUP(C355,vand_snom,3,FALSE))</f>
        <v/>
      </c>
      <c r="S355" s="118" t="str">
        <f>IF(R355="","",VLOOKUP(R355,snomed,3,FALSE))</f>
        <v/>
      </c>
    </row>
    <row r="356" spans="1:19">
      <c r="A356" s="25" t="s">
        <v>267</v>
      </c>
      <c r="R356" s="117"/>
    </row>
    <row r="357" spans="1:19">
      <c r="A357" s="26" t="s">
        <v>268</v>
      </c>
      <c r="B357" s="30" t="s">
        <v>76</v>
      </c>
      <c r="P357" t="str">
        <f>VLOOKUP(A357,snomed2,2,FALSE)</f>
        <v>træk vedr. ernæring</v>
      </c>
      <c r="Q357" t="str">
        <f>VLOOKUP(A357,snomed2,3,FALSE)</f>
        <v>364393001</v>
      </c>
      <c r="R357" s="117"/>
    </row>
    <row r="358" spans="1:19">
      <c r="A358" s="26" t="s">
        <v>269</v>
      </c>
      <c r="B358" s="30" t="s">
        <v>76</v>
      </c>
      <c r="P358" t="str">
        <f>VLOOKUP(A358,snomed2,2,FALSE)</f>
        <v>træning</v>
      </c>
      <c r="Q358" t="str">
        <f>VLOOKUP(A358,snomed2,3,FALSE)</f>
        <v>256235009</v>
      </c>
      <c r="R358" s="117"/>
    </row>
    <row r="359" spans="1:19">
      <c r="A359" s="25" t="s">
        <v>270</v>
      </c>
      <c r="P359" t="str">
        <f>VLOOKUP(A359,snomed2,2,FALSE)</f>
        <v>oplysninger om partner</v>
      </c>
      <c r="Q359" t="str">
        <f>VLOOKUP(A359,snomed2,3,FALSE)</f>
        <v>648091000005104</v>
      </c>
      <c r="R359" s="117"/>
    </row>
    <row r="360" spans="1:19">
      <c r="A360" s="26" t="s">
        <v>271</v>
      </c>
      <c r="B360" s="30" t="s">
        <v>49</v>
      </c>
      <c r="P360" t="str">
        <f>VLOOKUP(A360,snomed2,2,FALSE)</f>
        <v>partners beskæftigelse</v>
      </c>
      <c r="Q360" t="str">
        <f>VLOOKUP(A360,snomed2,3,FALSE)</f>
        <v>1252646008</v>
      </c>
      <c r="R360" s="118" t="str">
        <f>IF(C360="","",VLOOKUP(C360,vand_snom,3,FALSE))</f>
        <v/>
      </c>
      <c r="S360" s="118" t="str">
        <f>IF(R360="","",VLOOKUP(R360,snomed,3,FALSE))</f>
        <v/>
      </c>
    </row>
    <row r="361" spans="1:19">
      <c r="A361" s="26" t="s">
        <v>272</v>
      </c>
      <c r="B361" s="30" t="s">
        <v>34</v>
      </c>
      <c r="P361" t="str">
        <f>VLOOKUP(A361,snomed2,2,FALSE)</f>
        <v>partner har udfordringer med fysisk helbred</v>
      </c>
      <c r="Q361" t="str">
        <f>VLOOKUP(A361,snomed2,3,FALSE)</f>
        <v>608001000005102</v>
      </c>
      <c r="R361" s="118" t="str">
        <f>IF(C361="","",VLOOKUP(C361,vand_snom,3,FALSE))</f>
        <v/>
      </c>
      <c r="S361" s="118" t="str">
        <f>IF(R361="","",VLOOKUP(R361,snomed,3,FALSE))</f>
        <v/>
      </c>
    </row>
    <row r="362" spans="1:19">
      <c r="A362" s="26" t="s">
        <v>273</v>
      </c>
      <c r="B362" s="30" t="s">
        <v>34</v>
      </c>
      <c r="P362" t="str">
        <f>VLOOKUP(A362,snomed2,2,FALSE)</f>
        <v>partner har udfordringer med psykisk helbred</v>
      </c>
      <c r="Q362" t="str">
        <f>VLOOKUP(A362,snomed2,3,FALSE)</f>
        <v>608011000005104</v>
      </c>
      <c r="R362" s="118" t="str">
        <f>IF(C362="","",VLOOKUP(C362,vand_snom,3,FALSE))</f>
        <v/>
      </c>
      <c r="S362" s="118" t="str">
        <f>IF(R362="","",VLOOKUP(R362,snomed,3,FALSE))</f>
        <v/>
      </c>
    </row>
    <row r="363" spans="1:19">
      <c r="A363" s="26" t="s">
        <v>274</v>
      </c>
      <c r="B363" s="30" t="s">
        <v>34</v>
      </c>
      <c r="P363" t="str">
        <f>VLOOKUP(A363,snomed2,2,FALSE)</f>
        <v>partner har problematisk alkoholforbrug</v>
      </c>
      <c r="Q363" t="str">
        <f>VLOOKUP(A363,snomed2,3,FALSE)</f>
        <v>648041000005106</v>
      </c>
      <c r="R363" s="118" t="str">
        <f>IF(C363="","",VLOOKUP(C363,vand_snom,3,FALSE))</f>
        <v/>
      </c>
      <c r="S363" s="118" t="str">
        <f>IF(R363="","",VLOOKUP(R363,snomed,3,FALSE))</f>
        <v/>
      </c>
    </row>
    <row r="364" spans="1:19">
      <c r="A364" s="26" t="s">
        <v>275</v>
      </c>
      <c r="B364" s="30" t="s">
        <v>34</v>
      </c>
      <c r="P364" t="str">
        <f>VLOOKUP(A364,snomed2,2,FALSE)</f>
        <v>partner har skadeligt brug af rusmidler</v>
      </c>
      <c r="Q364" t="str">
        <f>VLOOKUP(A364,snomed2,3,FALSE)</f>
        <v>608031000005108</v>
      </c>
      <c r="R364" s="118" t="str">
        <f>IF(C364="","",VLOOKUP(C364,vand_snom,3,FALSE))</f>
        <v/>
      </c>
      <c r="S364" s="118" t="str">
        <f>IF(R364="","",VLOOKUP(R364,snomed,3,FALSE))</f>
        <v/>
      </c>
    </row>
    <row r="365" spans="1:19">
      <c r="A365" s="26" t="s">
        <v>276</v>
      </c>
      <c r="B365" s="30" t="s">
        <v>34</v>
      </c>
      <c r="P365" t="str">
        <f>VLOOKUP(A365,snomed2,2,FALSE)</f>
        <v>partner har socialt problem</v>
      </c>
      <c r="Q365" t="str">
        <f>VLOOKUP(A365,snomed2,3,FALSE)</f>
        <v>608041000005100</v>
      </c>
      <c r="R365" s="118" t="str">
        <f>IF(C365="","",VLOOKUP(C365,vand_snom,3,FALSE))</f>
        <v/>
      </c>
      <c r="S365" s="118" t="str">
        <f>IF(R365="","",VLOOKUP(R365,snomed,3,FALSE))</f>
        <v/>
      </c>
    </row>
    <row r="366" spans="1:19">
      <c r="A366" s="26" t="s">
        <v>277</v>
      </c>
      <c r="B366" s="30" t="s">
        <v>76</v>
      </c>
      <c r="P366" t="str">
        <f>VLOOKUP(A366,snomed2,2,FALSE)</f>
        <v>relevant information</v>
      </c>
      <c r="Q366" t="str">
        <f>VLOOKUP(A366,snomed2,3,FALSE)</f>
        <v>398005008</v>
      </c>
      <c r="R366" s="117"/>
    </row>
    <row r="367" spans="1:19">
      <c r="A367" s="25" t="s">
        <v>278</v>
      </c>
      <c r="R367" s="117"/>
    </row>
    <row r="368" spans="1:19">
      <c r="A368" s="26" t="s">
        <v>279</v>
      </c>
      <c r="B368" s="30" t="s">
        <v>76</v>
      </c>
      <c r="P368" t="str">
        <f>VLOOKUP(A368,snomed2,2,FALSE)</f>
        <v>ønsket fødested</v>
      </c>
      <c r="Q368" t="str">
        <f>VLOOKUP(A368,snomed2,3,FALSE)</f>
        <v>648021000005101</v>
      </c>
      <c r="R368" s="117"/>
    </row>
    <row r="369" spans="1:19">
      <c r="A369" s="26" t="s">
        <v>280</v>
      </c>
      <c r="B369" s="30" t="s">
        <v>34</v>
      </c>
      <c r="P369" t="str">
        <f>VLOOKUP(A369,snomed2,2,FALSE)</f>
        <v>hjemmefødsel ønsket</v>
      </c>
      <c r="Q369" t="str">
        <f>VLOOKUP(A369,snomed2,3,FALSE)</f>
        <v>2903011000005100</v>
      </c>
      <c r="R369" s="118" t="str">
        <f>IF(C369="","",VLOOKUP(C369,vand_snom,3,FALSE))</f>
        <v/>
      </c>
      <c r="S369" s="118" t="str">
        <f>IF(R369="","",VLOOKUP(R369,snomed,3,FALSE))</f>
        <v/>
      </c>
    </row>
    <row r="370" spans="1:19">
      <c r="A370" s="26" t="s">
        <v>281</v>
      </c>
      <c r="B370" s="30" t="s">
        <v>76</v>
      </c>
      <c r="P370" t="str">
        <f>VLOOKUP(A370,snomed2,2,FALSE)</f>
        <v>planlagt fødested</v>
      </c>
      <c r="Q370" t="str">
        <f>VLOOKUP(A370,snomed2,3,FALSE)</f>
        <v>648011000005107</v>
      </c>
      <c r="R370" s="117"/>
    </row>
    <row r="371" spans="1:19">
      <c r="A371" s="28" t="s">
        <v>281</v>
      </c>
      <c r="P371" t="str">
        <f>VLOOKUP(A371,snomed2,2,FALSE)</f>
        <v>planlagt fødested</v>
      </c>
      <c r="Q371" t="str">
        <f>VLOOKUP(A371,snomed2,3,FALSE)</f>
        <v>648011000005107</v>
      </c>
      <c r="R371" s="117"/>
    </row>
    <row r="372" spans="1:19">
      <c r="A372" s="26" t="s">
        <v>282</v>
      </c>
      <c r="B372" s="30" t="s">
        <v>283</v>
      </c>
      <c r="R372" s="117"/>
    </row>
    <row r="373" spans="1:19">
      <c r="A373" s="26" t="s">
        <v>284</v>
      </c>
      <c r="B373" s="30" t="s">
        <v>283</v>
      </c>
      <c r="R373" s="117"/>
    </row>
    <row r="374" spans="1:19">
      <c r="A374" s="28" t="s">
        <v>279</v>
      </c>
      <c r="P374" t="str">
        <f>VLOOKUP(A374,snomed2,2,FALSE)</f>
        <v>ønsket fødested</v>
      </c>
      <c r="Q374" t="str">
        <f>VLOOKUP(A374,snomed2,3,FALSE)</f>
        <v>648021000005101</v>
      </c>
      <c r="R374" s="117"/>
    </row>
    <row r="375" spans="1:19">
      <c r="A375" s="26" t="s">
        <v>282</v>
      </c>
      <c r="B375" s="30" t="s">
        <v>283</v>
      </c>
      <c r="R375" s="117"/>
    </row>
    <row r="376" spans="1:19">
      <c r="A376" s="26" t="s">
        <v>284</v>
      </c>
      <c r="B376" s="30" t="s">
        <v>283</v>
      </c>
      <c r="R376" s="117"/>
    </row>
    <row r="377" spans="1:19">
      <c r="A377" s="26" t="s">
        <v>285</v>
      </c>
      <c r="B377" s="30" t="s">
        <v>76</v>
      </c>
      <c r="P377" t="str">
        <f>VLOOKUP(A377,snomed2,2,FALSE)</f>
        <v>tildelt jordemoderklinik</v>
      </c>
      <c r="Q377" t="str">
        <f>VLOOKUP(A377,snomed2,3,FALSE)</f>
        <v>648081000005102</v>
      </c>
      <c r="R377" s="117"/>
    </row>
    <row r="378" spans="1:19">
      <c r="A378" s="26" t="s">
        <v>286</v>
      </c>
      <c r="B378" s="30" t="s">
        <v>76</v>
      </c>
      <c r="P378" t="str">
        <f>VLOOKUP(A378,snomed2,2,FALSE)</f>
        <v>ønsket jordemoderklinik</v>
      </c>
      <c r="Q378" t="str">
        <f>VLOOKUP(A378,snomed2,3,FALSE)</f>
        <v>648071000005100</v>
      </c>
      <c r="R378" s="117"/>
    </row>
    <row r="379" spans="1:19">
      <c r="A379" s="26" t="s">
        <v>287</v>
      </c>
      <c r="B379" s="30" t="s">
        <v>76</v>
      </c>
      <c r="P379" t="str">
        <f>VLOOKUP(A379,snomed2,2,FALSE)</f>
        <v>ønsket jordemoderklinik</v>
      </c>
      <c r="Q379" t="str">
        <f>VLOOKUP(A379,snomed2,3,FALSE)</f>
        <v>648071000005100</v>
      </c>
      <c r="R379" s="117"/>
    </row>
    <row r="380" spans="1:19">
      <c r="A380" s="26" t="s">
        <v>288</v>
      </c>
      <c r="B380" s="30" t="s">
        <v>289</v>
      </c>
      <c r="P380" t="str">
        <f>VLOOKUP(A380,snomed2,2,FALSE)</f>
        <v>ugedage</v>
      </c>
      <c r="Q380" t="str">
        <f>VLOOKUP(A380,snomed2,3,FALSE)</f>
        <v>307144000</v>
      </c>
      <c r="R380" s="118" t="str">
        <f>IF(C380="","",VLOOKUP(C380,vand_snom,3,FALSE))</f>
        <v/>
      </c>
      <c r="S380" s="118" t="str">
        <f>IF(R380="","",VLOOKUP(R380,snomed,3,FALSE))</f>
        <v/>
      </c>
    </row>
    <row r="381" spans="1:19">
      <c r="A381" s="26" t="s">
        <v>290</v>
      </c>
      <c r="B381" s="30" t="s">
        <v>34</v>
      </c>
      <c r="P381" t="str">
        <f>VLOOKUP(A381,snomed2,2,FALSE)</f>
        <v>fødselsforberedelse</v>
      </c>
      <c r="Q381" t="str">
        <f>VLOOKUP(A381,snomed2,3,FALSE)</f>
        <v>386235000</v>
      </c>
      <c r="R381" s="118" t="str">
        <f>IF(C381="","",VLOOKUP(C381,vand_snom,3,FALSE))</f>
        <v/>
      </c>
      <c r="S381" s="118" t="str">
        <f>IF(R381="","",VLOOKUP(R381,snomed,3,FALSE))</f>
        <v/>
      </c>
    </row>
    <row r="382" spans="1:19">
      <c r="A382" s="26" t="s">
        <v>291</v>
      </c>
      <c r="B382" s="30" t="s">
        <v>292</v>
      </c>
      <c r="P382" t="str">
        <f>VLOOKUP(A382,snomed2,2,FALSE)</f>
        <v>konsultation - handling</v>
      </c>
      <c r="Q382" t="str">
        <f>VLOOKUP(A382,snomed2,3,FALSE)</f>
        <v>129430004</v>
      </c>
      <c r="R382" s="118" t="str">
        <f>IF(C382="","",VLOOKUP(C382,vand_snom,3,FALSE))</f>
        <v/>
      </c>
      <c r="S382" s="118" t="str">
        <f>IF(R382="","",VLOOKUP(R382,snomed,3,FALSE))</f>
        <v/>
      </c>
    </row>
    <row r="383" spans="1:19">
      <c r="A383" s="28" t="s">
        <v>285</v>
      </c>
      <c r="P383" t="str">
        <f>VLOOKUP(A383,snomed2,2,FALSE)</f>
        <v>tildelt jordemoderklinik</v>
      </c>
      <c r="Q383" t="str">
        <f>VLOOKUP(A383,snomed2,3,FALSE)</f>
        <v>648081000005102</v>
      </c>
      <c r="R383" s="117"/>
    </row>
    <row r="384" spans="1:19">
      <c r="A384" s="26" t="s">
        <v>282</v>
      </c>
      <c r="B384" s="30" t="s">
        <v>283</v>
      </c>
      <c r="R384" s="117"/>
    </row>
    <row r="385" spans="1:19">
      <c r="A385" s="26" t="s">
        <v>284</v>
      </c>
      <c r="B385" s="30" t="s">
        <v>283</v>
      </c>
      <c r="R385" s="117"/>
    </row>
    <row r="386" spans="1:19">
      <c r="A386" s="28" t="s">
        <v>286</v>
      </c>
      <c r="P386" t="str">
        <f>VLOOKUP(A386,snomed2,2,FALSE)</f>
        <v>ønsket jordemoderklinik</v>
      </c>
      <c r="Q386" t="str">
        <f>VLOOKUP(A386,snomed2,3,FALSE)</f>
        <v>648071000005100</v>
      </c>
      <c r="R386" s="117"/>
    </row>
    <row r="387" spans="1:19">
      <c r="A387" s="26" t="s">
        <v>282</v>
      </c>
      <c r="B387" s="30" t="s">
        <v>283</v>
      </c>
      <c r="R387" s="117"/>
    </row>
    <row r="388" spans="1:19">
      <c r="A388" s="26" t="s">
        <v>284</v>
      </c>
      <c r="B388" s="30" t="s">
        <v>283</v>
      </c>
      <c r="R388" s="117"/>
    </row>
    <row r="389" spans="1:19">
      <c r="A389" s="28" t="s">
        <v>293</v>
      </c>
      <c r="P389" t="str">
        <f>VLOOKUP(A389,snomed2,2,FALSE)</f>
        <v>sundhedsplejen</v>
      </c>
      <c r="Q389" t="str">
        <f>VLOOKUP(A389,snomed2,3,FALSE)</f>
        <v>554021000005101</v>
      </c>
      <c r="R389" s="117"/>
    </row>
    <row r="390" spans="1:19">
      <c r="A390" s="26" t="s">
        <v>282</v>
      </c>
      <c r="B390" s="30" t="s">
        <v>283</v>
      </c>
      <c r="R390" s="117"/>
    </row>
    <row r="391" spans="1:19">
      <c r="A391" s="26" t="s">
        <v>284</v>
      </c>
      <c r="B391" s="30" t="s">
        <v>283</v>
      </c>
      <c r="R391" s="117"/>
    </row>
    <row r="392" spans="1:19">
      <c r="A392" s="25" t="s">
        <v>294</v>
      </c>
      <c r="P392" t="str">
        <f>VLOOKUP(A392,snomed2,2,FALSE)</f>
        <v>almen klinisk tilstand</v>
      </c>
      <c r="Q392" t="str">
        <f>VLOOKUP(A392,snomed2,3,FALSE)</f>
        <v>278844005</v>
      </c>
      <c r="R392" s="117"/>
    </row>
    <row r="393" spans="1:19">
      <c r="A393" s="26" t="s">
        <v>294</v>
      </c>
      <c r="B393" s="30" t="s">
        <v>40</v>
      </c>
      <c r="P393" t="str">
        <f>VLOOKUP(A393,snomed2,2,FALSE)</f>
        <v>almen klinisk tilstand</v>
      </c>
      <c r="Q393" t="str">
        <f>VLOOKUP(A393,snomed2,3,FALSE)</f>
        <v>278844005</v>
      </c>
      <c r="R393" s="117"/>
    </row>
    <row r="394" spans="1:19">
      <c r="A394" s="26" t="s">
        <v>295</v>
      </c>
      <c r="B394" s="30" t="s">
        <v>49</v>
      </c>
      <c r="P394" t="str">
        <f>VLOOKUP(A394,snomed2,2,FALSE)</f>
        <v>vurdering af helbredsmæssige og sociale behov</v>
      </c>
      <c r="Q394" t="str">
        <f>VLOOKUP(A394,snomed2,3,FALSE)</f>
        <v>710824005</v>
      </c>
      <c r="R394" s="118" t="str">
        <f>IF(C394="","",VLOOKUP(C394,m_omsorg,3,FALSE))</f>
        <v/>
      </c>
      <c r="S394" s="118" t="str">
        <f>IF(R394="","",VLOOKUP(R394,snomed,3,FALSE))</f>
        <v/>
      </c>
    </row>
    <row r="395" spans="1:19">
      <c r="A395" s="26" t="s">
        <v>296</v>
      </c>
      <c r="B395" s="30" t="s">
        <v>142</v>
      </c>
      <c r="P395" t="str">
        <f>VLOOKUP(A395,snomed2,2,FALSE)</f>
        <v>henvisning mhp. obstetrisk og gynækologisk behandling</v>
      </c>
      <c r="Q395" t="str">
        <f>VLOOKUP(A395,snomed2,3,FALSE)</f>
        <v>306133003</v>
      </c>
      <c r="R395" s="118" t="str">
        <f>IF(C395="","",VLOOKUP(C395,vand_snom,3,FALSE))</f>
        <v/>
      </c>
      <c r="S395" s="118" t="str">
        <f>IF(R395="","",VLOOKUP(R395,snomed,3,FALSE))</f>
        <v/>
      </c>
    </row>
    <row r="396" spans="1:19">
      <c r="A396" s="26" t="s">
        <v>297</v>
      </c>
      <c r="B396" s="30" t="s">
        <v>76</v>
      </c>
      <c r="P396" t="str">
        <f>VLOOKUP(A396,snomed2,2,FALSE)</f>
        <v>indikation for procedure</v>
      </c>
      <c r="Q396" t="str">
        <f>VLOOKUP(A396,snomed2,3,FALSE)</f>
        <v>432678004</v>
      </c>
      <c r="R396" s="117"/>
    </row>
    <row r="397" spans="1:19">
      <c r="A397" s="26" t="s">
        <v>298</v>
      </c>
      <c r="B397" s="30" t="s">
        <v>34</v>
      </c>
      <c r="P397" t="str">
        <f>VLOOKUP(A397,snomed2,2,FALSE)</f>
        <v>henvisning til social- og sundhedsforvaltning</v>
      </c>
      <c r="Q397" t="str">
        <f>VLOOKUP(A397,snomed2,3,FALSE)</f>
        <v>306238000</v>
      </c>
      <c r="R397" s="118" t="str">
        <f>IF(C397="","",VLOOKUP(C397,vand_snom,3,FALSE))</f>
        <v/>
      </c>
      <c r="S397" s="118" t="str">
        <f>IF(R397="","",VLOOKUP(R397,snomed,3,FALSE))</f>
        <v/>
      </c>
    </row>
    <row r="398" spans="1:19">
      <c r="A398" s="26" t="s">
        <v>299</v>
      </c>
      <c r="B398" s="30" t="s">
        <v>40</v>
      </c>
      <c r="P398" t="str">
        <f>VLOOKUP(A398,snomed2,2,FALSE)</f>
        <v>indikation for procedure</v>
      </c>
      <c r="Q398" t="str">
        <f>VLOOKUP(A398,snomed2,3,FALSE)</f>
        <v>432678004</v>
      </c>
      <c r="R398" s="117"/>
    </row>
    <row r="399" spans="1:19">
      <c r="A399" s="26" t="s">
        <v>300</v>
      </c>
      <c r="B399" s="30" t="s">
        <v>34</v>
      </c>
      <c r="P399" t="str">
        <f>VLOOKUP(A399,snomed2,2,FALSE)</f>
        <v>flerfoldsgraviditet</v>
      </c>
      <c r="Q399" t="str">
        <f>VLOOKUP(A399,snomed2,3,FALSE)</f>
        <v>16356006</v>
      </c>
      <c r="R399" s="118" t="str">
        <f>IF(C399="","",VLOOKUP(C399,vand_snom,3,FALSE))</f>
        <v/>
      </c>
      <c r="S399" s="118" t="str">
        <f>IF(R399="","",VLOOKUP(R399,snomed,3,FALSE))</f>
        <v/>
      </c>
    </row>
    <row r="400" spans="1:19">
      <c r="A400" s="26" t="s">
        <v>301</v>
      </c>
      <c r="B400" s="30" t="s">
        <v>76</v>
      </c>
      <c r="P400" t="str">
        <f>VLOOKUP(A400,snomed2,2,FALSE)</f>
        <v>træk vedr. flerfoldsgraviditet med risikofaktorer</v>
      </c>
      <c r="Q400" t="str">
        <f>VLOOKUP(A400,snomed2,3,FALSE)</f>
        <v>648101000005108</v>
      </c>
      <c r="R400" s="117"/>
    </row>
    <row r="401" spans="1:19">
      <c r="A401" s="25" t="s">
        <v>302</v>
      </c>
      <c r="P401" t="str">
        <f>VLOOKUP(A401,snomed2,2,FALSE)</f>
        <v>Resume</v>
      </c>
      <c r="Q401" t="str">
        <f>VLOOKUP(A401,snomed2,3,FALSE)</f>
        <v>371534008</v>
      </c>
      <c r="R401" s="117"/>
    </row>
    <row r="402" spans="1:19">
      <c r="A402" s="26" t="s">
        <v>302</v>
      </c>
      <c r="B402" s="30" t="s">
        <v>76</v>
      </c>
      <c r="C402" s="41" t="s">
        <v>305</v>
      </c>
      <c r="P402" t="str">
        <f>VLOOKUP(A402,snomed2,2,FALSE)</f>
        <v>Resume</v>
      </c>
      <c r="Q402" t="str">
        <f>VLOOKUP(A402,snomed2,3,FALSE)</f>
        <v>371534008</v>
      </c>
      <c r="R402" s="117"/>
    </row>
    <row r="403" spans="1:19">
      <c r="A403" s="26"/>
      <c r="R403" s="119"/>
    </row>
    <row r="404" spans="1:19" ht="24">
      <c r="A404" s="1" t="s">
        <v>307</v>
      </c>
      <c r="B404" s="31"/>
      <c r="C404" s="1" t="s">
        <v>27</v>
      </c>
      <c r="D404" s="33" t="s">
        <v>186</v>
      </c>
      <c r="E404" s="1" t="s">
        <v>29</v>
      </c>
      <c r="R404" s="116"/>
    </row>
    <row r="405" spans="1:19">
      <c r="A405" s="1" t="s">
        <v>28</v>
      </c>
      <c r="B405" s="24" t="str">
        <f>IF(C405="","",VLOOKUP(C405,AftalerDatoer!$C$3:$G$26,4,FALSE))</f>
        <v/>
      </c>
      <c r="C405" s="20"/>
      <c r="D405" s="19" t="str">
        <f>IF(C405="","",VLOOKUP(C405,AftalerDatoer!$C$3:$E$26,2,FALSE))</f>
        <v/>
      </c>
      <c r="E405" t="str" cm="1">
        <f t="array" ref="E405">_xlfn.IFS(C405="","",VLOOKUP(C405,AftalerDatoer!$C$3:$H$26,4,FALSE)="SM",VLOOKUP(C405,AftalerDatoer!$C$3:$H$26,3,FALSE),VLOOKUP(C405,AftalerDatoer!$C$3:$H$26,4,FALSE)="UL",VLOOKUP(C405,AftalerDatoer!$C$3:$H$26,5,FALSE))</f>
        <v/>
      </c>
      <c r="R405" s="117"/>
    </row>
    <row r="406" spans="1:19">
      <c r="A406" s="1" t="s">
        <v>188</v>
      </c>
      <c r="P406" t="str">
        <f>VLOOKUP(A406,snomed2,2,FALSE)</f>
        <v>beregnet terminsdato</v>
      </c>
      <c r="Q406" t="str">
        <f>VLOOKUP(A406,snomed2,3,FALSE)</f>
        <v>161714006</v>
      </c>
      <c r="R406" s="117"/>
    </row>
    <row r="407" spans="1:19">
      <c r="A407" t="s">
        <v>189</v>
      </c>
      <c r="B407" s="30" t="s">
        <v>28</v>
      </c>
      <c r="P407" t="str">
        <f>VLOOKUP(A407,snomed2,2,FALSE)</f>
        <v>seneste menstruationsperiodes 1. dag</v>
      </c>
      <c r="Q407" t="str">
        <f>VLOOKUP(A407,snomed2,3,FALSE)</f>
        <v>161713000</v>
      </c>
      <c r="R407" s="117"/>
    </row>
    <row r="408" spans="1:19">
      <c r="A408" t="s">
        <v>190</v>
      </c>
      <c r="B408" s="30" t="s">
        <v>191</v>
      </c>
      <c r="P408" t="str">
        <f>VLOOKUP(A408,snomed2,2,FALSE)</f>
        <v>varighed af menstruationscyklus</v>
      </c>
      <c r="Q408" t="str">
        <f>VLOOKUP(A408,snomed2,3,FALSE)</f>
        <v>364310004</v>
      </c>
      <c r="R408" s="117"/>
    </row>
    <row r="409" spans="1:19">
      <c r="A409" t="s">
        <v>192</v>
      </c>
      <c r="B409" s="30" t="s">
        <v>28</v>
      </c>
      <c r="P409" t="str">
        <f>VLOOKUP(A409,snomed2,2,FALSE)</f>
        <v>beregnet terminsdato fra seneste menstruation</v>
      </c>
      <c r="Q409" t="str">
        <f>VLOOKUP(A409,snomed2,3,FALSE)</f>
        <v>289206005</v>
      </c>
      <c r="R409" s="117"/>
    </row>
    <row r="410" spans="1:19">
      <c r="A410" t="s">
        <v>194</v>
      </c>
      <c r="B410" s="30" t="s">
        <v>34</v>
      </c>
      <c r="P410" t="str">
        <f>VLOOKUP(A410,snomed2,2,FALSE)</f>
        <v>graviditet med sikker termin</v>
      </c>
      <c r="Q410" t="str">
        <f>VLOOKUP(A410,snomed2,3,FALSE)</f>
        <v>567941000005109</v>
      </c>
      <c r="R410" s="118" t="str">
        <f>IF(C410="","",VLOOKUP(C410,vand_snom,3,FALSE))</f>
        <v/>
      </c>
      <c r="S410" s="118" t="str">
        <f>IF(R410="","",VLOOKUP(R410,snomed,3,FALSE))</f>
        <v/>
      </c>
    </row>
    <row r="411" spans="1:19">
      <c r="A411" t="s">
        <v>115</v>
      </c>
      <c r="B411" s="30" t="s">
        <v>76</v>
      </c>
      <c r="P411" t="str">
        <f>VLOOKUP(A411,snomed2,2,FALSE)</f>
        <v>relevant information</v>
      </c>
      <c r="Q411" t="str">
        <f>VLOOKUP(A411,snomed2,3,FALSE)</f>
        <v>398005008</v>
      </c>
      <c r="R411" s="117"/>
    </row>
    <row r="412" spans="1:19">
      <c r="A412" s="1" t="s">
        <v>195</v>
      </c>
      <c r="R412" s="117"/>
    </row>
    <row r="413" spans="1:19">
      <c r="A413" t="s">
        <v>196</v>
      </c>
      <c r="B413" s="30" t="s">
        <v>49</v>
      </c>
      <c r="P413" t="str">
        <f>VLOOKUP(A413,snomed2,2,FALSE)</f>
        <v>gennemført uddannelse</v>
      </c>
      <c r="Q413" t="str">
        <f>VLOOKUP(A413,snomed2,3,FALSE)</f>
        <v>105421008</v>
      </c>
      <c r="R413" s="118" t="str">
        <f>IF(C413="","",VLOOKUP(C413,vand_snom,3,FALSE))</f>
        <v/>
      </c>
      <c r="S413" s="118" t="str">
        <f>IF(R413="","",VLOOKUP(R413,snomed,3,FALSE))</f>
        <v/>
      </c>
    </row>
    <row r="414" spans="1:19">
      <c r="A414" t="s">
        <v>197</v>
      </c>
      <c r="B414" s="30" t="s">
        <v>40</v>
      </c>
      <c r="P414" t="str">
        <f>VLOOKUP(A414,snomed2,2,FALSE)</f>
        <v>relevant information</v>
      </c>
      <c r="Q414" t="str">
        <f>VLOOKUP(A414,snomed2,3,FALSE)</f>
        <v>398005008</v>
      </c>
      <c r="R414" s="117"/>
    </row>
    <row r="415" spans="1:19">
      <c r="A415" t="s">
        <v>198</v>
      </c>
      <c r="B415" s="30" t="s">
        <v>49</v>
      </c>
      <c r="P415" t="str">
        <f>VLOOKUP(A415,snomed2,2,FALSE)</f>
        <v>oplysning om beskæftigelse</v>
      </c>
      <c r="Q415" t="str">
        <f>VLOOKUP(A415,snomed2,3,FALSE)</f>
        <v>364703007</v>
      </c>
      <c r="R415" s="118" t="str">
        <f>IF(C415="","",VLOOKUP(C415,vand_snom,3,FALSE))</f>
        <v/>
      </c>
      <c r="S415" s="118" t="str">
        <f>IF(R415="","",VLOOKUP(R415,snomed,3,FALSE))</f>
        <v/>
      </c>
    </row>
    <row r="416" spans="1:19">
      <c r="A416" t="s">
        <v>199</v>
      </c>
      <c r="B416" s="30" t="s">
        <v>40</v>
      </c>
      <c r="P416" t="str">
        <f>VLOOKUP(A416,snomed2,2,FALSE)</f>
        <v>relevant information</v>
      </c>
      <c r="Q416" t="str">
        <f>VLOOKUP(A416,snomed2,3,FALSE)</f>
        <v>398005008</v>
      </c>
      <c r="R416" s="117"/>
    </row>
    <row r="417" spans="1:19">
      <c r="A417" t="s">
        <v>200</v>
      </c>
      <c r="B417" s="30" t="s">
        <v>49</v>
      </c>
      <c r="P417" t="str">
        <f>VLOOKUP(A417,snomed2,2,FALSE)</f>
        <v>status for modtagelse af ydelse</v>
      </c>
      <c r="Q417" t="str">
        <f>VLOOKUP(A417,snomed2,3,FALSE)</f>
        <v>228163007</v>
      </c>
      <c r="R417" s="118" t="str">
        <f>IF(C417="","",VLOOKUP(C417,vand_snom,3,FALSE))</f>
        <v/>
      </c>
      <c r="S417" s="118" t="str">
        <f>IF(R417="","",VLOOKUP(R417,snomed,3,FALSE))</f>
        <v/>
      </c>
    </row>
    <row r="418" spans="1:19">
      <c r="A418" s="1" t="s">
        <v>201</v>
      </c>
      <c r="R418" s="117"/>
    </row>
    <row r="419" spans="1:19">
      <c r="A419" t="s">
        <v>203</v>
      </c>
      <c r="B419" s="30" t="s">
        <v>34</v>
      </c>
      <c r="P419" t="str">
        <f>VLOOKUP(A419,snomed2,2,FALSE)</f>
        <v>røg før bekræftet graviditet</v>
      </c>
      <c r="Q419" t="str">
        <f>VLOOKUP(A419,snomed2,3,FALSE)</f>
        <v>449345000</v>
      </c>
      <c r="R419" s="118" t="str">
        <f>IF(C419="","",VLOOKUP(C419,vand_snom,3,FALSE))</f>
        <v/>
      </c>
      <c r="S419" s="118" t="str">
        <f>IF(R419="","",VLOOKUP(R419,snomed,3,FALSE))</f>
        <v/>
      </c>
    </row>
    <row r="420" spans="1:19">
      <c r="A420" t="s">
        <v>206</v>
      </c>
      <c r="B420" s="30" t="s">
        <v>49</v>
      </c>
      <c r="P420" t="str">
        <f>VLOOKUP(A420,snomed2,2,FALSE)</f>
        <v>moders forbrug af røgtobak under graviditet</v>
      </c>
      <c r="Q420" t="str">
        <f>VLOOKUP(A420,snomed2,3,FALSE)</f>
        <v>598171000005102</v>
      </c>
      <c r="R420" s="118" t="str">
        <f>IF(C420="","",VLOOKUP(C420,vand_snom,3,FALSE))</f>
        <v/>
      </c>
      <c r="S420" s="118" t="str">
        <f>IF(R420="","",VLOOKUP(R420,snomed,3,FALSE))</f>
        <v/>
      </c>
    </row>
    <row r="421" spans="1:19">
      <c r="A421" t="s">
        <v>209</v>
      </c>
      <c r="B421" s="30" t="s">
        <v>28</v>
      </c>
      <c r="P421" t="str">
        <f>VLOOKUP(A421,snomed2,2,FALSE)</f>
        <v>dato for rygeophør</v>
      </c>
      <c r="Q421" t="str">
        <f>VLOOKUP(A421,snomed2,3,FALSE)</f>
        <v>160625004</v>
      </c>
      <c r="R421" s="117"/>
    </row>
    <row r="422" spans="1:19">
      <c r="A422" t="s">
        <v>212</v>
      </c>
      <c r="B422" s="30" t="s">
        <v>34</v>
      </c>
      <c r="P422" t="str">
        <f>VLOOKUP(A422,snomed2,2,FALSE)</f>
        <v>udsat for tobaksrøg i hjemmet</v>
      </c>
      <c r="Q422" t="str">
        <f>VLOOKUP(A422,snomed2,3,FALSE)</f>
        <v>228524006</v>
      </c>
      <c r="R422" s="118" t="str">
        <f>IF(C422="","",VLOOKUP(C422,vand_snom,3,FALSE))</f>
        <v/>
      </c>
      <c r="S422" s="118" t="str">
        <f>IF(R422="","",VLOOKUP(R422,snomed,3,FALSE))</f>
        <v/>
      </c>
    </row>
    <row r="423" spans="1:19">
      <c r="A423" t="s">
        <v>215</v>
      </c>
      <c r="B423" s="30" t="s">
        <v>34</v>
      </c>
      <c r="P423" t="str">
        <f>VLOOKUP(A423,snomed2,2,FALSE)</f>
        <v>udsat for tobaksrøg på jobbet</v>
      </c>
      <c r="Q423" t="str">
        <f>VLOOKUP(A423,snomed2,3,FALSE)</f>
        <v>228523000</v>
      </c>
      <c r="R423" s="118" t="str">
        <f>IF(C423="","",VLOOKUP(C423,vand_snom,3,FALSE))</f>
        <v/>
      </c>
      <c r="S423" s="118" t="str">
        <f>IF(R423="","",VLOOKUP(R423,snomed,3,FALSE))</f>
        <v/>
      </c>
    </row>
    <row r="424" spans="1:19">
      <c r="A424" t="s">
        <v>218</v>
      </c>
      <c r="B424" s="30" t="s">
        <v>49</v>
      </c>
      <c r="P424" t="str">
        <f>VLOOKUP(A424,snomed2,2,FALSE)</f>
        <v>henvisning til rygestopklinik</v>
      </c>
      <c r="Q424" t="str">
        <f>VLOOKUP(A424,snomed2,3,FALSE)</f>
        <v>315232003</v>
      </c>
      <c r="R424" s="118" t="str">
        <f>IF(C424="","",VLOOKUP(C424,m_htton,3,FALSE))</f>
        <v/>
      </c>
      <c r="S424" s="118" t="str">
        <f>IF(R424="","",VLOOKUP(R424,snomed,3,FALSE))</f>
        <v/>
      </c>
    </row>
    <row r="425" spans="1:19">
      <c r="A425" t="s">
        <v>221</v>
      </c>
      <c r="B425" s="30" t="s">
        <v>34</v>
      </c>
      <c r="P425" t="str">
        <f>VLOOKUP(A425,snomed2,2,FALSE)</f>
        <v>bruger af nicotin før bekræftet graviditet</v>
      </c>
      <c r="Q425" t="str">
        <f>VLOOKUP(A425,snomed2,3,FALSE)</f>
        <v>598091000005102</v>
      </c>
      <c r="R425" s="118" t="str">
        <f>IF(C425="","",VLOOKUP(C425,vand_snom,3,FALSE))</f>
        <v/>
      </c>
      <c r="S425" s="118" t="str">
        <f>IF(R425="","",VLOOKUP(R425,snomed,3,FALSE))</f>
        <v/>
      </c>
    </row>
    <row r="426" spans="1:19">
      <c r="A426" t="s">
        <v>224</v>
      </c>
      <c r="B426" s="30" t="s">
        <v>49</v>
      </c>
      <c r="P426" t="str">
        <f>VLOOKUP(A426,snomed2,2,FALSE)</f>
        <v>bruger af nicotin under graviditet</v>
      </c>
      <c r="Q426" t="str">
        <f>VLOOKUP(A426,snomed2,3,FALSE)</f>
        <v>598221000005106</v>
      </c>
      <c r="R426" s="118" t="str">
        <f>IF(C426="","",VLOOKUP(C426,m_bruNit,3,FALSE))</f>
        <v/>
      </c>
      <c r="S426" s="118" t="str">
        <f>IF(R426="","",VLOOKUP(R426,snomed,3,FALSE))</f>
        <v/>
      </c>
    </row>
    <row r="427" spans="1:19">
      <c r="A427" t="s">
        <v>227</v>
      </c>
      <c r="B427" s="30" t="s">
        <v>28</v>
      </c>
      <c r="P427" t="str">
        <f>VLOOKUP(A427,snomed2,2,FALSE)</f>
        <v>dato for ophør med brug af nicotin</v>
      </c>
      <c r="Q427" t="str">
        <f>VLOOKUP(A427,snomed2,3,FALSE)</f>
        <v>598261000005102</v>
      </c>
      <c r="R427" s="117"/>
    </row>
    <row r="428" spans="1:19">
      <c r="A428" s="1" t="s">
        <v>230</v>
      </c>
      <c r="P428" t="str">
        <f>VLOOKUP(A428,snomed2,2,FALSE)</f>
        <v>adfærd i relation til brug af stof</v>
      </c>
      <c r="Q428" t="str">
        <f>VLOOKUP(A428,snomed2,3,FALSE)</f>
        <v>1187057000</v>
      </c>
      <c r="R428" s="117"/>
    </row>
    <row r="429" spans="1:19">
      <c r="A429" t="s">
        <v>233</v>
      </c>
      <c r="B429" s="30" t="s">
        <v>34</v>
      </c>
      <c r="P429" t="str">
        <f>VLOOKUP(A429,snomed2,2,FALSE)</f>
        <v>nikotinpose</v>
      </c>
      <c r="Q429" t="str">
        <f>VLOOKUP(A429,snomed2,3,FALSE)</f>
        <v>598111000005109</v>
      </c>
      <c r="R429" s="118" t="str">
        <f>IF(C429="","",VLOOKUP(C429,vand_snom,3,FALSE))</f>
        <v/>
      </c>
      <c r="S429" s="118" t="str">
        <f>IF(R429="","",VLOOKUP(R429,snomed,3,FALSE))</f>
        <v/>
      </c>
    </row>
    <row r="430" spans="1:19">
      <c r="A430" t="s">
        <v>236</v>
      </c>
      <c r="B430" s="30" t="s">
        <v>43</v>
      </c>
      <c r="P430" t="str">
        <f>VLOOKUP(A430,snomed2,2,FALSE)</f>
        <v>E/dag</v>
      </c>
      <c r="Q430" t="str">
        <f>VLOOKUP(A430,snomed2,3,FALSE)</f>
        <v>258950000</v>
      </c>
      <c r="R430" s="117"/>
    </row>
    <row r="431" spans="1:19">
      <c r="A431" t="s">
        <v>239</v>
      </c>
      <c r="B431" s="30" t="s">
        <v>34</v>
      </c>
      <c r="P431" t="str">
        <f>VLOOKUP(A431,snomed2,2,FALSE)</f>
        <v>nikotintyggegummi</v>
      </c>
      <c r="Q431" t="str">
        <f>VLOOKUP(A431,snomed2,3,FALSE)</f>
        <v>598101000005106</v>
      </c>
      <c r="R431" s="118" t="str">
        <f>IF(C431="","",VLOOKUP(C431,vand_snom,3,FALSE))</f>
        <v/>
      </c>
      <c r="S431" s="118" t="str">
        <f>IF(R431="","",VLOOKUP(R431,snomed,3,FALSE))</f>
        <v/>
      </c>
    </row>
    <row r="432" spans="1:19">
      <c r="A432" t="s">
        <v>242</v>
      </c>
      <c r="B432" s="30" t="s">
        <v>70</v>
      </c>
      <c r="P432" t="str">
        <f>VLOOKUP(A432,snomed2,2,FALSE)</f>
        <v>E/dag</v>
      </c>
      <c r="Q432" t="str">
        <f>VLOOKUP(A432,snomed2,3,FALSE)</f>
        <v>258950000</v>
      </c>
      <c r="R432" s="117"/>
    </row>
    <row r="433" spans="1:19">
      <c r="A433" t="s">
        <v>245</v>
      </c>
      <c r="B433" s="30" t="s">
        <v>34</v>
      </c>
      <c r="P433" t="str">
        <f>VLOOKUP(A433,snomed2,2,FALSE)</f>
        <v>elektronisk cigaret</v>
      </c>
      <c r="Q433" t="str">
        <f>VLOOKUP(A433,snomed2,3,FALSE)</f>
        <v>722498003</v>
      </c>
      <c r="R433" s="118" t="str">
        <f>IF(C433="","",VLOOKUP(C433,vand_snom,3,FALSE))</f>
        <v/>
      </c>
      <c r="S433" s="118" t="str">
        <f>IF(R433="","",VLOOKUP(R433,snomed,3,FALSE))</f>
        <v/>
      </c>
    </row>
    <row r="434" spans="1:19">
      <c r="A434" t="s">
        <v>248</v>
      </c>
      <c r="B434" s="30" t="s">
        <v>43</v>
      </c>
      <c r="P434" t="str">
        <f>VLOOKUP(A434,snomed2,2,FALSE)</f>
        <v>ml/dag</v>
      </c>
      <c r="Q434" t="str">
        <f>VLOOKUP(A434,snomed2,3,FALSE)</f>
        <v>258860005</v>
      </c>
      <c r="R434" s="117"/>
    </row>
    <row r="435" spans="1:19">
      <c r="A435" t="s">
        <v>249</v>
      </c>
      <c r="B435" s="30" t="s">
        <v>34</v>
      </c>
      <c r="P435" t="str">
        <f>VLOOKUP(A435,snomed2,2,FALSE)</f>
        <v>tyggetobak</v>
      </c>
      <c r="Q435" t="str">
        <f>VLOOKUP(A435,snomed2,3,FALSE)</f>
        <v>81911001</v>
      </c>
      <c r="R435" s="118" t="str">
        <f>IF(C435="","",VLOOKUP(C435,vand_snom,3,FALSE))</f>
        <v/>
      </c>
      <c r="S435" s="118" t="str">
        <f>IF(R435="","",VLOOKUP(R435,snomed,3,FALSE))</f>
        <v/>
      </c>
    </row>
    <row r="436" spans="1:19">
      <c r="A436" t="s">
        <v>250</v>
      </c>
      <c r="B436" s="30" t="s">
        <v>70</v>
      </c>
      <c r="P436" t="str">
        <f>VLOOKUP(A436,snomed2,2,FALSE)</f>
        <v>E/dag</v>
      </c>
      <c r="Q436" t="str">
        <f>VLOOKUP(A436,snomed2,3,FALSE)</f>
        <v>258950000</v>
      </c>
      <c r="R436" s="117"/>
    </row>
    <row r="437" spans="1:19">
      <c r="A437" t="s">
        <v>251</v>
      </c>
      <c r="B437" s="30" t="s">
        <v>34</v>
      </c>
      <c r="R437" s="118" t="str">
        <f>IF(C437="","",VLOOKUP(C437,vand_snom,3,FALSE))</f>
        <v/>
      </c>
      <c r="S437" s="118" t="str">
        <f>IF(R437="","",VLOOKUP(R437,snomed,3,FALSE))</f>
        <v/>
      </c>
    </row>
    <row r="438" spans="1:19">
      <c r="A438" t="s">
        <v>252</v>
      </c>
      <c r="B438" s="30" t="s">
        <v>49</v>
      </c>
      <c r="P438" t="str">
        <f>VLOOKUP(A438,snomed2,2,FALSE)</f>
        <v>vandpibe</v>
      </c>
      <c r="Q438" t="str">
        <f>VLOOKUP(A438,snomed2,3,FALSE)</f>
        <v>722495000</v>
      </c>
      <c r="R438" s="118" t="str">
        <f>IF(C438="","",VLOOKUP(C438,m_vandpibe,3,FALSE))</f>
        <v/>
      </c>
      <c r="S438" s="118" t="str">
        <f>IF(R438="","",VLOOKUP(R438,snomed,3,FALSE))</f>
        <v/>
      </c>
    </row>
    <row r="439" spans="1:19">
      <c r="A439" t="s">
        <v>253</v>
      </c>
      <c r="B439" s="30" t="s">
        <v>76</v>
      </c>
      <c r="P439" t="str">
        <f>VLOOKUP(A439,snomed2,2,FALSE)</f>
        <v>eksponering for potentielt skadeligt emne</v>
      </c>
      <c r="Q439" t="str">
        <f>VLOOKUP(A439,snomed2,3,FALSE)</f>
        <v>418715001</v>
      </c>
      <c r="R439" s="117"/>
    </row>
    <row r="440" spans="1:19">
      <c r="A440" s="1" t="s">
        <v>254</v>
      </c>
      <c r="P440" t="str">
        <f>VLOOKUP(A440,snomed2,2,FALSE)</f>
        <v>detaljer vedr. adfærd ifm. indtag af alkohol</v>
      </c>
      <c r="Q440" t="str">
        <f>VLOOKUP(A440,snomed2,3,FALSE)</f>
        <v>363905002</v>
      </c>
      <c r="R440" s="117"/>
    </row>
    <row r="441" spans="1:19">
      <c r="A441" t="s">
        <v>255</v>
      </c>
      <c r="B441" s="30" t="s">
        <v>34</v>
      </c>
      <c r="P441" t="str">
        <f>VLOOKUP(A441,snomed2,2,FALSE)</f>
        <v>bruger af alkohol før bekræftet graviditet</v>
      </c>
      <c r="Q441" t="str">
        <f>VLOOKUP(A441,snomed2,3,FALSE)</f>
        <v>568171000005100</v>
      </c>
      <c r="R441" s="118" t="str">
        <f>IF(C441="","",VLOOKUP(C441,vand_snom,3,FALSE))</f>
        <v/>
      </c>
      <c r="S441" s="118" t="str">
        <f>IF(R441="","",VLOOKUP(R441,snomed,3,FALSE))</f>
        <v/>
      </c>
    </row>
    <row r="442" spans="1:19">
      <c r="A442" t="s">
        <v>256</v>
      </c>
      <c r="B442" s="30" t="s">
        <v>43</v>
      </c>
      <c r="P442" t="str">
        <f>VLOOKUP(A442,snomed2,2,FALSE)</f>
        <v>alkoholgenstande/uge</v>
      </c>
      <c r="Q442" t="str">
        <f>VLOOKUP(A442,snomed2,3,FALSE)</f>
        <v>228958009</v>
      </c>
      <c r="R442" s="117"/>
    </row>
    <row r="443" spans="1:19">
      <c r="A443" t="s">
        <v>257</v>
      </c>
      <c r="B443" s="30" t="s">
        <v>34</v>
      </c>
      <c r="P443" t="str">
        <f>VLOOKUP(A443,snomed2,2,FALSE)</f>
        <v>alkoholindtag under graviditet</v>
      </c>
      <c r="Q443" t="str">
        <f>VLOOKUP(A443,snomed2,3,FALSE)</f>
        <v>427013000</v>
      </c>
      <c r="R443" s="118" t="str">
        <f>IF(C443="","",VLOOKUP(C443,vand_snom,3,FALSE))</f>
        <v/>
      </c>
      <c r="S443" s="118" t="str">
        <f>IF(R443="","",VLOOKUP(R443,snomed,3,FALSE))</f>
        <v/>
      </c>
    </row>
    <row r="444" spans="1:19">
      <c r="A444" t="s">
        <v>258</v>
      </c>
      <c r="B444" s="30" t="s">
        <v>70</v>
      </c>
      <c r="P444" t="str">
        <f>VLOOKUP(A444,snomed2,2,FALSE)</f>
        <v>alkoholgenstande/uge</v>
      </c>
      <c r="Q444" t="str">
        <f>VLOOKUP(A444,snomed2,3,FALSE)</f>
        <v>228958009</v>
      </c>
      <c r="R444" s="117"/>
    </row>
    <row r="445" spans="1:19">
      <c r="A445" t="s">
        <v>259</v>
      </c>
      <c r="B445" s="30" t="s">
        <v>70</v>
      </c>
      <c r="P445" t="str">
        <f>VLOOKUP(A445,snomed2,2,FALSE)</f>
        <v>binge-drinking</v>
      </c>
      <c r="Q445" t="str">
        <f>VLOOKUP(A445,snomed2,3,FALSE)</f>
        <v>228326007</v>
      </c>
      <c r="R445" s="117"/>
    </row>
    <row r="446" spans="1:19">
      <c r="A446" t="s">
        <v>260</v>
      </c>
      <c r="B446" s="30" t="s">
        <v>76</v>
      </c>
      <c r="P446" t="str">
        <f>VLOOKUP(A446,snomed2,2,FALSE)</f>
        <v>graviditetsuge</v>
      </c>
      <c r="Q446" t="str">
        <f>VLOOKUP(A446,snomed2,3,FALSE)</f>
        <v>598141000005108</v>
      </c>
      <c r="R446" s="117"/>
    </row>
    <row r="447" spans="1:19">
      <c r="A447" t="s">
        <v>261</v>
      </c>
      <c r="B447" s="30" t="s">
        <v>49</v>
      </c>
      <c r="P447" t="str">
        <f>VLOOKUP(A447,snomed2,2,FALSE)</f>
        <v>TWEAK-score</v>
      </c>
      <c r="Q447" t="str">
        <f>VLOOKUP(A447,snomed2,3,FALSE)</f>
        <v>568251000005102</v>
      </c>
      <c r="R447" s="117"/>
    </row>
    <row r="448" spans="1:19">
      <c r="A448" s="1" t="s">
        <v>262</v>
      </c>
      <c r="P448" t="str">
        <f>VLOOKUP(A448,snomed2,2,FALSE)</f>
        <v>detaljer vedr. adfærd i relation til brug af stof</v>
      </c>
      <c r="Q448" t="str">
        <f>VLOOKUP(A448,snomed2,3,FALSE)</f>
        <v>363908000</v>
      </c>
      <c r="R448" s="117"/>
    </row>
    <row r="449" spans="1:19" ht="29.25">
      <c r="A449" s="2" t="s">
        <v>263</v>
      </c>
      <c r="B449" s="30" t="s">
        <v>34</v>
      </c>
      <c r="P449" t="str">
        <f>VLOOKUP(A449,snomed2,2,FALSE)</f>
        <v>træk vedr. stof</v>
      </c>
      <c r="Q449" t="str">
        <f>VLOOKUP(A449,snomed2,3,FALSE)</f>
        <v>361055000</v>
      </c>
      <c r="R449" s="118" t="str">
        <f>IF(C449="","",VLOOKUP(C449,vand_snom,3,FALSE))</f>
        <v/>
      </c>
      <c r="S449" s="118" t="str">
        <f>IF(R449="","",VLOOKUP(R449,snomed,3,FALSE))</f>
        <v/>
      </c>
    </row>
    <row r="450" spans="1:19">
      <c r="A450" t="s">
        <v>264</v>
      </c>
      <c r="B450" s="30" t="s">
        <v>74</v>
      </c>
      <c r="C450" s="1" t="s">
        <v>265</v>
      </c>
      <c r="D450" s="1"/>
      <c r="P450" t="str">
        <f>VLOOKUP(A450,snomed2,2,FALSE)</f>
        <v>træk vedr. stof</v>
      </c>
      <c r="Q450" t="str">
        <f>VLOOKUP(A450,snomed2,3,FALSE)</f>
        <v>373063009</v>
      </c>
      <c r="R450" s="117"/>
    </row>
    <row r="451" spans="1:19">
      <c r="A451" t="s">
        <v>266</v>
      </c>
      <c r="D451" t="str">
        <f>IF(C451="","",VLOOKUP(C451,RM_kat,2,FALSE))</f>
        <v/>
      </c>
      <c r="R451" s="118" t="str">
        <f>IF(C451="","",VLOOKUP(C451,vand_snom,3,FALSE))</f>
        <v/>
      </c>
      <c r="S451" s="118" t="str">
        <f>IF(R451="","",VLOOKUP(R451,snomed,3,FALSE))</f>
        <v/>
      </c>
    </row>
    <row r="452" spans="1:19">
      <c r="A452" t="s">
        <v>266</v>
      </c>
      <c r="D452" t="str">
        <f>IF(C452="","",VLOOKUP(C452,RM_kat,2,FALSE))</f>
        <v/>
      </c>
      <c r="R452" s="118" t="str">
        <f>IF(C452="","",VLOOKUP(C452,vand_snom,3,FALSE))</f>
        <v/>
      </c>
      <c r="S452" s="118" t="str">
        <f>IF(R452="","",VLOOKUP(R452,snomed,3,FALSE))</f>
        <v/>
      </c>
    </row>
    <row r="453" spans="1:19">
      <c r="A453" t="s">
        <v>266</v>
      </c>
      <c r="D453" t="str">
        <f>IF(C453="","",VLOOKUP(C453,RM_kat,2,FALSE))</f>
        <v/>
      </c>
      <c r="R453" s="118" t="str">
        <f>IF(C453="","",VLOOKUP(C453,vand_snom,3,FALSE))</f>
        <v/>
      </c>
      <c r="S453" s="118" t="str">
        <f>IF(R453="","",VLOOKUP(R453,snomed,3,FALSE))</f>
        <v/>
      </c>
    </row>
    <row r="454" spans="1:19">
      <c r="A454" t="s">
        <v>266</v>
      </c>
      <c r="D454" t="str">
        <f>IF(C454="","",VLOOKUP(C454,RM_kat,2,FALSE))</f>
        <v/>
      </c>
      <c r="R454" s="118" t="str">
        <f>IF(C454="","",VLOOKUP(C454,vand_snom,3,FALSE))</f>
        <v/>
      </c>
      <c r="S454" s="118" t="str">
        <f>IF(R454="","",VLOOKUP(R454,snomed,3,FALSE))</f>
        <v/>
      </c>
    </row>
    <row r="455" spans="1:19">
      <c r="A455" t="s">
        <v>266</v>
      </c>
      <c r="R455" s="118" t="str">
        <f>IF(C455="","",VLOOKUP(C455,vand_snom,3,FALSE))</f>
        <v/>
      </c>
      <c r="S455" s="118" t="str">
        <f>IF(R455="","",VLOOKUP(R455,snomed,3,FALSE))</f>
        <v/>
      </c>
    </row>
    <row r="456" spans="1:19">
      <c r="A456" s="1" t="s">
        <v>267</v>
      </c>
      <c r="R456" s="117"/>
    </row>
    <row r="457" spans="1:19">
      <c r="A457" t="s">
        <v>268</v>
      </c>
      <c r="B457" s="30" t="s">
        <v>76</v>
      </c>
      <c r="P457" t="str">
        <f>VLOOKUP(A457,snomed2,2,FALSE)</f>
        <v>træk vedr. ernæring</v>
      </c>
      <c r="Q457" t="str">
        <f>VLOOKUP(A457,snomed2,3,FALSE)</f>
        <v>364393001</v>
      </c>
      <c r="R457" s="117"/>
    </row>
    <row r="458" spans="1:19">
      <c r="A458" t="s">
        <v>269</v>
      </c>
      <c r="B458" s="30" t="s">
        <v>76</v>
      </c>
      <c r="P458" t="str">
        <f>VLOOKUP(A458,snomed2,2,FALSE)</f>
        <v>træning</v>
      </c>
      <c r="Q458" t="str">
        <f>VLOOKUP(A458,snomed2,3,FALSE)</f>
        <v>256235009</v>
      </c>
      <c r="R458" s="117"/>
    </row>
    <row r="459" spans="1:19">
      <c r="A459" s="1" t="s">
        <v>270</v>
      </c>
      <c r="P459" t="str">
        <f>VLOOKUP(A459,snomed2,2,FALSE)</f>
        <v>oplysninger om partner</v>
      </c>
      <c r="Q459" t="str">
        <f>VLOOKUP(A459,snomed2,3,FALSE)</f>
        <v>648091000005104</v>
      </c>
      <c r="R459" s="117"/>
    </row>
    <row r="460" spans="1:19">
      <c r="A460" t="s">
        <v>271</v>
      </c>
      <c r="B460" s="30" t="s">
        <v>49</v>
      </c>
      <c r="P460" t="str">
        <f>VLOOKUP(A460,snomed2,2,FALSE)</f>
        <v>partners beskæftigelse</v>
      </c>
      <c r="Q460" t="str">
        <f>VLOOKUP(A460,snomed2,3,FALSE)</f>
        <v>1252646008</v>
      </c>
      <c r="R460" s="118" t="str">
        <f>IF(C460="","",VLOOKUP(C460,vand_snom,3,FALSE))</f>
        <v/>
      </c>
      <c r="S460" s="118" t="str">
        <f>IF(R460="","",VLOOKUP(R460,snomed,3,FALSE))</f>
        <v/>
      </c>
    </row>
    <row r="461" spans="1:19">
      <c r="A461" t="s">
        <v>272</v>
      </c>
      <c r="B461" s="30" t="s">
        <v>34</v>
      </c>
      <c r="P461" t="str">
        <f>VLOOKUP(A461,snomed2,2,FALSE)</f>
        <v>partner har udfordringer med fysisk helbred</v>
      </c>
      <c r="Q461" t="str">
        <f>VLOOKUP(A461,snomed2,3,FALSE)</f>
        <v>608001000005102</v>
      </c>
      <c r="R461" s="118" t="str">
        <f>IF(C461="","",VLOOKUP(C461,vand_snom,3,FALSE))</f>
        <v/>
      </c>
      <c r="S461" s="118" t="str">
        <f>IF(R461="","",VLOOKUP(R461,snomed,3,FALSE))</f>
        <v/>
      </c>
    </row>
    <row r="462" spans="1:19">
      <c r="A462" t="s">
        <v>273</v>
      </c>
      <c r="B462" s="30" t="s">
        <v>34</v>
      </c>
      <c r="P462" t="str">
        <f>VLOOKUP(A462,snomed2,2,FALSE)</f>
        <v>partner har udfordringer med psykisk helbred</v>
      </c>
      <c r="Q462" t="str">
        <f>VLOOKUP(A462,snomed2,3,FALSE)</f>
        <v>608011000005104</v>
      </c>
      <c r="R462" s="118" t="str">
        <f>IF(C462="","",VLOOKUP(C462,vand_snom,3,FALSE))</f>
        <v/>
      </c>
      <c r="S462" s="118" t="str">
        <f>IF(R462="","",VLOOKUP(R462,snomed,3,FALSE))</f>
        <v/>
      </c>
    </row>
    <row r="463" spans="1:19">
      <c r="A463" t="s">
        <v>274</v>
      </c>
      <c r="B463" s="30" t="s">
        <v>34</v>
      </c>
      <c r="P463" t="str">
        <f>VLOOKUP(A463,snomed2,2,FALSE)</f>
        <v>partner har problematisk alkoholforbrug</v>
      </c>
      <c r="Q463" t="str">
        <f>VLOOKUP(A463,snomed2,3,FALSE)</f>
        <v>648041000005106</v>
      </c>
      <c r="R463" s="118" t="str">
        <f>IF(C463="","",VLOOKUP(C463,vand_snom,3,FALSE))</f>
        <v/>
      </c>
      <c r="S463" s="118" t="str">
        <f>IF(R463="","",VLOOKUP(R463,snomed,3,FALSE))</f>
        <v/>
      </c>
    </row>
    <row r="464" spans="1:19">
      <c r="A464" t="s">
        <v>275</v>
      </c>
      <c r="B464" s="30" t="s">
        <v>34</v>
      </c>
      <c r="P464" t="str">
        <f>VLOOKUP(A464,snomed2,2,FALSE)</f>
        <v>partner har skadeligt brug af rusmidler</v>
      </c>
      <c r="Q464" t="str">
        <f>VLOOKUP(A464,snomed2,3,FALSE)</f>
        <v>608031000005108</v>
      </c>
      <c r="R464" s="118" t="str">
        <f>IF(C464="","",VLOOKUP(C464,vand_snom,3,FALSE))</f>
        <v/>
      </c>
      <c r="S464" s="118" t="str">
        <f>IF(R464="","",VLOOKUP(R464,snomed,3,FALSE))</f>
        <v/>
      </c>
    </row>
    <row r="465" spans="1:19">
      <c r="A465" t="s">
        <v>276</v>
      </c>
      <c r="B465" s="30" t="s">
        <v>34</v>
      </c>
      <c r="P465" t="str">
        <f>VLOOKUP(A465,snomed2,2,FALSE)</f>
        <v>partner har socialt problem</v>
      </c>
      <c r="Q465" t="str">
        <f>VLOOKUP(A465,snomed2,3,FALSE)</f>
        <v>608041000005100</v>
      </c>
      <c r="R465" s="118" t="str">
        <f>IF(C465="","",VLOOKUP(C465,vand_snom,3,FALSE))</f>
        <v/>
      </c>
      <c r="S465" s="118" t="str">
        <f>IF(R465="","",VLOOKUP(R465,snomed,3,FALSE))</f>
        <v/>
      </c>
    </row>
    <row r="466" spans="1:19">
      <c r="A466" t="s">
        <v>277</v>
      </c>
      <c r="B466" s="30" t="s">
        <v>76</v>
      </c>
      <c r="P466" t="str">
        <f>VLOOKUP(A466,snomed2,2,FALSE)</f>
        <v>relevant information</v>
      </c>
      <c r="Q466" t="str">
        <f>VLOOKUP(A466,snomed2,3,FALSE)</f>
        <v>398005008</v>
      </c>
      <c r="R466" s="117"/>
    </row>
    <row r="467" spans="1:19">
      <c r="A467" s="1" t="s">
        <v>278</v>
      </c>
      <c r="R467" s="117"/>
    </row>
    <row r="468" spans="1:19">
      <c r="A468" t="s">
        <v>279</v>
      </c>
      <c r="B468" s="30" t="s">
        <v>76</v>
      </c>
      <c r="P468" t="str">
        <f>VLOOKUP(A468,snomed2,2,FALSE)</f>
        <v>ønsket fødested</v>
      </c>
      <c r="Q468" t="str">
        <f>VLOOKUP(A468,snomed2,3,FALSE)</f>
        <v>648021000005101</v>
      </c>
      <c r="R468" s="117"/>
    </row>
    <row r="469" spans="1:19">
      <c r="A469" t="s">
        <v>280</v>
      </c>
      <c r="B469" s="30" t="s">
        <v>34</v>
      </c>
      <c r="P469" t="str">
        <f>VLOOKUP(A469,snomed2,2,FALSE)</f>
        <v>hjemmefødsel ønsket</v>
      </c>
      <c r="Q469" t="str">
        <f>VLOOKUP(A469,snomed2,3,FALSE)</f>
        <v>2903011000005100</v>
      </c>
      <c r="R469" s="118" t="str">
        <f>IF(C469="","",VLOOKUP(C469,vand_snom,3,FALSE))</f>
        <v/>
      </c>
      <c r="S469" s="118" t="str">
        <f>IF(R469="","",VLOOKUP(R469,snomed,3,FALSE))</f>
        <v/>
      </c>
    </row>
    <row r="470" spans="1:19">
      <c r="A470" t="s">
        <v>281</v>
      </c>
      <c r="B470" s="30" t="s">
        <v>76</v>
      </c>
      <c r="P470" t="str">
        <f>VLOOKUP(A470,snomed2,2,FALSE)</f>
        <v>planlagt fødested</v>
      </c>
      <c r="Q470" t="str">
        <f>VLOOKUP(A470,snomed2,3,FALSE)</f>
        <v>648011000005107</v>
      </c>
      <c r="R470" s="117"/>
    </row>
    <row r="471" spans="1:19">
      <c r="A471" s="8" t="s">
        <v>281</v>
      </c>
      <c r="P471" t="str">
        <f>VLOOKUP(A471,snomed2,2,FALSE)</f>
        <v>planlagt fødested</v>
      </c>
      <c r="Q471" t="str">
        <f>VLOOKUP(A471,snomed2,3,FALSE)</f>
        <v>648011000005107</v>
      </c>
      <c r="R471" s="117"/>
    </row>
    <row r="472" spans="1:19">
      <c r="A472" t="s">
        <v>282</v>
      </c>
      <c r="B472" s="30" t="s">
        <v>283</v>
      </c>
      <c r="R472" s="117"/>
    </row>
    <row r="473" spans="1:19">
      <c r="A473" t="s">
        <v>284</v>
      </c>
      <c r="B473" s="30" t="s">
        <v>283</v>
      </c>
      <c r="R473" s="117"/>
    </row>
    <row r="474" spans="1:19">
      <c r="A474" s="8" t="s">
        <v>279</v>
      </c>
      <c r="P474" t="str">
        <f>VLOOKUP(A474,snomed2,2,FALSE)</f>
        <v>ønsket fødested</v>
      </c>
      <c r="Q474" t="str">
        <f>VLOOKUP(A474,snomed2,3,FALSE)</f>
        <v>648021000005101</v>
      </c>
      <c r="R474" s="117"/>
    </row>
    <row r="475" spans="1:19">
      <c r="A475" t="s">
        <v>282</v>
      </c>
      <c r="B475" s="30" t="s">
        <v>283</v>
      </c>
      <c r="R475" s="117"/>
    </row>
    <row r="476" spans="1:19">
      <c r="A476" t="s">
        <v>284</v>
      </c>
      <c r="B476" s="30" t="s">
        <v>283</v>
      </c>
      <c r="R476" s="117"/>
    </row>
    <row r="477" spans="1:19">
      <c r="A477" t="s">
        <v>285</v>
      </c>
      <c r="B477" s="30" t="s">
        <v>76</v>
      </c>
      <c r="P477" t="str">
        <f>VLOOKUP(A477,snomed2,2,FALSE)</f>
        <v>tildelt jordemoderklinik</v>
      </c>
      <c r="Q477" t="str">
        <f>VLOOKUP(A477,snomed2,3,FALSE)</f>
        <v>648081000005102</v>
      </c>
      <c r="R477" s="117"/>
    </row>
    <row r="478" spans="1:19">
      <c r="A478" t="s">
        <v>286</v>
      </c>
      <c r="B478" s="30" t="s">
        <v>76</v>
      </c>
      <c r="P478" t="str">
        <f>VLOOKUP(A478,snomed2,2,FALSE)</f>
        <v>ønsket jordemoderklinik</v>
      </c>
      <c r="Q478" t="str">
        <f>VLOOKUP(A478,snomed2,3,FALSE)</f>
        <v>648071000005100</v>
      </c>
      <c r="R478" s="117"/>
    </row>
    <row r="479" spans="1:19">
      <c r="A479" t="s">
        <v>287</v>
      </c>
      <c r="B479" s="30" t="s">
        <v>76</v>
      </c>
      <c r="P479" t="str">
        <f>VLOOKUP(A479,snomed2,2,FALSE)</f>
        <v>ønsket jordemoderklinik</v>
      </c>
      <c r="Q479" t="str">
        <f>VLOOKUP(A479,snomed2,3,FALSE)</f>
        <v>648071000005100</v>
      </c>
      <c r="R479" s="117"/>
    </row>
    <row r="480" spans="1:19">
      <c r="A480" t="s">
        <v>288</v>
      </c>
      <c r="B480" s="30" t="s">
        <v>289</v>
      </c>
      <c r="P480" t="str">
        <f>VLOOKUP(A480,snomed2,2,FALSE)</f>
        <v>ugedage</v>
      </c>
      <c r="Q480" t="str">
        <f>VLOOKUP(A480,snomed2,3,FALSE)</f>
        <v>307144000</v>
      </c>
      <c r="R480" s="118" t="str">
        <f>IF(C480="","",VLOOKUP(C480,vand_snom,3,FALSE))</f>
        <v/>
      </c>
      <c r="S480" s="118" t="str">
        <f>IF(R480="","",VLOOKUP(R480,snomed,3,FALSE))</f>
        <v/>
      </c>
    </row>
    <row r="481" spans="1:19">
      <c r="A481" t="s">
        <v>290</v>
      </c>
      <c r="B481" s="30" t="s">
        <v>34</v>
      </c>
      <c r="P481" t="str">
        <f>VLOOKUP(A481,snomed2,2,FALSE)</f>
        <v>fødselsforberedelse</v>
      </c>
      <c r="Q481" t="str">
        <f>VLOOKUP(A481,snomed2,3,FALSE)</f>
        <v>386235000</v>
      </c>
      <c r="R481" s="118" t="str">
        <f>IF(C481="","",VLOOKUP(C481,vand_snom,3,FALSE))</f>
        <v/>
      </c>
      <c r="S481" s="118" t="str">
        <f>IF(R481="","",VLOOKUP(R481,snomed,3,FALSE))</f>
        <v/>
      </c>
    </row>
    <row r="482" spans="1:19">
      <c r="A482" t="s">
        <v>291</v>
      </c>
      <c r="B482" s="30" t="s">
        <v>292</v>
      </c>
      <c r="P482" t="str">
        <f>VLOOKUP(A482,snomed2,2,FALSE)</f>
        <v>konsultation - handling</v>
      </c>
      <c r="Q482" t="str">
        <f>VLOOKUP(A482,snomed2,3,FALSE)</f>
        <v>129430004</v>
      </c>
      <c r="R482" s="118" t="str">
        <f>IF(C482="","",VLOOKUP(C482,vand_snom,3,FALSE))</f>
        <v/>
      </c>
      <c r="S482" s="118" t="str">
        <f>IF(R482="","",VLOOKUP(R482,snomed,3,FALSE))</f>
        <v/>
      </c>
    </row>
    <row r="483" spans="1:19">
      <c r="A483" s="8" t="s">
        <v>285</v>
      </c>
      <c r="P483" t="str">
        <f>VLOOKUP(A483,snomed2,2,FALSE)</f>
        <v>tildelt jordemoderklinik</v>
      </c>
      <c r="Q483" t="str">
        <f>VLOOKUP(A483,snomed2,3,FALSE)</f>
        <v>648081000005102</v>
      </c>
      <c r="R483" s="117"/>
    </row>
    <row r="484" spans="1:19">
      <c r="A484" t="s">
        <v>282</v>
      </c>
      <c r="B484" s="30" t="s">
        <v>283</v>
      </c>
      <c r="R484" s="117"/>
    </row>
    <row r="485" spans="1:19">
      <c r="A485" t="s">
        <v>284</v>
      </c>
      <c r="B485" s="30" t="s">
        <v>283</v>
      </c>
      <c r="R485" s="117"/>
    </row>
    <row r="486" spans="1:19">
      <c r="A486" s="8" t="s">
        <v>286</v>
      </c>
      <c r="P486" t="str">
        <f>VLOOKUP(A486,snomed2,2,FALSE)</f>
        <v>ønsket jordemoderklinik</v>
      </c>
      <c r="Q486" t="str">
        <f>VLOOKUP(A486,snomed2,3,FALSE)</f>
        <v>648071000005100</v>
      </c>
      <c r="R486" s="117"/>
    </row>
    <row r="487" spans="1:19">
      <c r="A487" t="s">
        <v>282</v>
      </c>
      <c r="B487" s="30" t="s">
        <v>283</v>
      </c>
      <c r="R487" s="117"/>
    </row>
    <row r="488" spans="1:19">
      <c r="A488" t="s">
        <v>284</v>
      </c>
      <c r="B488" s="30" t="s">
        <v>283</v>
      </c>
      <c r="R488" s="117"/>
    </row>
    <row r="489" spans="1:19">
      <c r="A489" s="8" t="s">
        <v>293</v>
      </c>
      <c r="P489" t="str">
        <f>VLOOKUP(A489,snomed2,2,FALSE)</f>
        <v>sundhedsplejen</v>
      </c>
      <c r="Q489" t="str">
        <f>VLOOKUP(A489,snomed2,3,FALSE)</f>
        <v>554021000005101</v>
      </c>
      <c r="R489" s="117"/>
    </row>
    <row r="490" spans="1:19">
      <c r="A490" t="s">
        <v>282</v>
      </c>
      <c r="B490" s="30" t="s">
        <v>283</v>
      </c>
      <c r="R490" s="117"/>
    </row>
    <row r="491" spans="1:19">
      <c r="A491" t="s">
        <v>284</v>
      </c>
      <c r="B491" s="30" t="s">
        <v>283</v>
      </c>
      <c r="R491" s="117"/>
    </row>
    <row r="492" spans="1:19">
      <c r="A492" s="1" t="s">
        <v>294</v>
      </c>
      <c r="P492" t="str">
        <f>VLOOKUP(A492,snomed2,2,FALSE)</f>
        <v>almen klinisk tilstand</v>
      </c>
      <c r="Q492" t="str">
        <f>VLOOKUP(A492,snomed2,3,FALSE)</f>
        <v>278844005</v>
      </c>
      <c r="R492" s="117"/>
    </row>
    <row r="493" spans="1:19">
      <c r="A493" t="s">
        <v>294</v>
      </c>
      <c r="B493" s="30" t="s">
        <v>40</v>
      </c>
      <c r="P493" t="str">
        <f>VLOOKUP(A493,snomed2,2,FALSE)</f>
        <v>almen klinisk tilstand</v>
      </c>
      <c r="Q493" t="str">
        <f>VLOOKUP(A493,snomed2,3,FALSE)</f>
        <v>278844005</v>
      </c>
      <c r="R493" s="117"/>
    </row>
    <row r="494" spans="1:19">
      <c r="A494" t="s">
        <v>295</v>
      </c>
      <c r="B494" s="30" t="s">
        <v>49</v>
      </c>
      <c r="P494" t="str">
        <f>VLOOKUP(A494,snomed2,2,FALSE)</f>
        <v>vurdering af helbredsmæssige og sociale behov</v>
      </c>
      <c r="Q494" t="str">
        <f>VLOOKUP(A494,snomed2,3,FALSE)</f>
        <v>710824005</v>
      </c>
      <c r="R494" s="118" t="str">
        <f>IF(C494="","",VLOOKUP(C494,m_omsorg,3,FALSE))</f>
        <v/>
      </c>
      <c r="S494" s="118" t="str">
        <f>IF(R494="","",VLOOKUP(R494,snomed,3,FALSE))</f>
        <v/>
      </c>
    </row>
    <row r="495" spans="1:19">
      <c r="A495" t="s">
        <v>296</v>
      </c>
      <c r="B495" s="30" t="s">
        <v>142</v>
      </c>
      <c r="P495" t="str">
        <f>VLOOKUP(A495,snomed2,2,FALSE)</f>
        <v>henvisning mhp. obstetrisk og gynækologisk behandling</v>
      </c>
      <c r="Q495" t="str">
        <f>VLOOKUP(A495,snomed2,3,FALSE)</f>
        <v>306133003</v>
      </c>
      <c r="R495" s="118" t="str">
        <f>IF(C495="","",VLOOKUP(C495,vand_snom,3,FALSE))</f>
        <v/>
      </c>
      <c r="S495" s="118" t="str">
        <f>IF(R495="","",VLOOKUP(R495,snomed,3,FALSE))</f>
        <v/>
      </c>
    </row>
    <row r="496" spans="1:19">
      <c r="A496" t="s">
        <v>297</v>
      </c>
      <c r="B496" s="30" t="s">
        <v>76</v>
      </c>
      <c r="P496" t="str">
        <f>VLOOKUP(A496,snomed2,2,FALSE)</f>
        <v>indikation for procedure</v>
      </c>
      <c r="Q496" t="str">
        <f>VLOOKUP(A496,snomed2,3,FALSE)</f>
        <v>432678004</v>
      </c>
      <c r="R496" s="117"/>
    </row>
    <row r="497" spans="1:19">
      <c r="A497" t="s">
        <v>298</v>
      </c>
      <c r="B497" s="30" t="s">
        <v>34</v>
      </c>
      <c r="P497" t="str">
        <f>VLOOKUP(A497,snomed2,2,FALSE)</f>
        <v>henvisning til social- og sundhedsforvaltning</v>
      </c>
      <c r="Q497" t="str">
        <f>VLOOKUP(A497,snomed2,3,FALSE)</f>
        <v>306238000</v>
      </c>
      <c r="R497" s="118" t="str">
        <f>IF(C497="","",VLOOKUP(C497,vand_snom,3,FALSE))</f>
        <v/>
      </c>
      <c r="S497" s="118" t="str">
        <f>IF(R497="","",VLOOKUP(R497,snomed,3,FALSE))</f>
        <v/>
      </c>
    </row>
    <row r="498" spans="1:19">
      <c r="A498" t="s">
        <v>299</v>
      </c>
      <c r="B498" s="30" t="s">
        <v>40</v>
      </c>
      <c r="P498" t="str">
        <f>VLOOKUP(A498,snomed2,2,FALSE)</f>
        <v>indikation for procedure</v>
      </c>
      <c r="Q498" t="str">
        <f>VLOOKUP(A498,snomed2,3,FALSE)</f>
        <v>432678004</v>
      </c>
      <c r="R498" s="117"/>
    </row>
    <row r="499" spans="1:19">
      <c r="A499" t="s">
        <v>300</v>
      </c>
      <c r="B499" s="30" t="s">
        <v>34</v>
      </c>
      <c r="P499" t="str">
        <f>VLOOKUP(A499,snomed2,2,FALSE)</f>
        <v>flerfoldsgraviditet</v>
      </c>
      <c r="Q499" t="str">
        <f>VLOOKUP(A499,snomed2,3,FALSE)</f>
        <v>16356006</v>
      </c>
      <c r="R499" s="118" t="str">
        <f>IF(C499="","",VLOOKUP(C499,vand_snom,3,FALSE))</f>
        <v/>
      </c>
      <c r="S499" s="118" t="str">
        <f>IF(R499="","",VLOOKUP(R499,snomed,3,FALSE))</f>
        <v/>
      </c>
    </row>
    <row r="500" spans="1:19">
      <c r="A500" t="s">
        <v>301</v>
      </c>
      <c r="B500" s="30" t="s">
        <v>76</v>
      </c>
      <c r="P500" t="str">
        <f>VLOOKUP(A500,snomed2,2,FALSE)</f>
        <v>træk vedr. flerfoldsgraviditet med risikofaktorer</v>
      </c>
      <c r="Q500" t="str">
        <f>VLOOKUP(A500,snomed2,3,FALSE)</f>
        <v>648101000005108</v>
      </c>
      <c r="R500" s="117"/>
    </row>
    <row r="501" spans="1:19">
      <c r="A501" s="1" t="s">
        <v>302</v>
      </c>
      <c r="P501" t="str">
        <f>VLOOKUP(A501,snomed2,2,FALSE)</f>
        <v>Resume</v>
      </c>
      <c r="Q501" t="str">
        <f>VLOOKUP(A501,snomed2,3,FALSE)</f>
        <v>371534008</v>
      </c>
      <c r="R501" s="117"/>
    </row>
    <row r="502" spans="1:19">
      <c r="A502" t="s">
        <v>302</v>
      </c>
      <c r="B502" s="30" t="s">
        <v>76</v>
      </c>
      <c r="C502" s="41" t="s">
        <v>305</v>
      </c>
      <c r="P502" t="str">
        <f>VLOOKUP(A502,snomed2,2,FALSE)</f>
        <v>Resume</v>
      </c>
      <c r="Q502" t="str">
        <f>VLOOKUP(A502,snomed2,3,FALSE)</f>
        <v>371534008</v>
      </c>
      <c r="R502" s="117"/>
    </row>
    <row r="503" spans="1:19">
      <c r="A503" s="26"/>
      <c r="R503" s="119"/>
    </row>
  </sheetData>
  <mergeCells count="8">
    <mergeCell ref="J12:J13"/>
    <mergeCell ref="J14:J15"/>
    <mergeCell ref="J10:J11"/>
    <mergeCell ref="I2:J2"/>
    <mergeCell ref="I1:J1"/>
    <mergeCell ref="J4:J5"/>
    <mergeCell ref="J6:J7"/>
    <mergeCell ref="J8:J9"/>
  </mergeCells>
  <conditionalFormatting sqref="C19:C27 C119:C127 C219:C227 C319:C327 C419:C427">
    <cfRule type="expression" dxfId="114" priority="61">
      <formula>C19=""</formula>
    </cfRule>
  </conditionalFormatting>
  <conditionalFormatting sqref="C13:C17 C113:C117 C213:C217 C313:C317 C413:C417">
    <cfRule type="expression" dxfId="113" priority="49">
      <formula>C13=""</formula>
    </cfRule>
  </conditionalFormatting>
  <conditionalFormatting sqref="C7:C11 C107:C111 C207:C211 C307:C311 C407:C411">
    <cfRule type="expression" dxfId="112" priority="47">
      <formula>C7=""</formula>
    </cfRule>
  </conditionalFormatting>
  <conditionalFormatting sqref="C29:C39 C129:C139 C229:C239 C329:C339 C429:C439">
    <cfRule type="expression" dxfId="111" priority="48">
      <formula>C29=""</formula>
    </cfRule>
  </conditionalFormatting>
  <conditionalFormatting sqref="C41:C47 C141:C147 C241:C247 C341:C347 C441:C447">
    <cfRule type="expression" dxfId="110" priority="46">
      <formula>C41=""</formula>
    </cfRule>
  </conditionalFormatting>
  <conditionalFormatting sqref="C49 C149 C249 C349 C449">
    <cfRule type="expression" dxfId="109" priority="45">
      <formula>C49=""</formula>
    </cfRule>
  </conditionalFormatting>
  <conditionalFormatting sqref="C51:C55 C151:C155 C251:C255 C351:C355 C451:C455">
    <cfRule type="expression" dxfId="108" priority="43">
      <formula>C51=""</formula>
    </cfRule>
  </conditionalFormatting>
  <conditionalFormatting sqref="C57:C58 C157:C158 C257:C258 C357:C358 C457:C458">
    <cfRule type="expression" dxfId="107" priority="44">
      <formula>C57=""</formula>
    </cfRule>
  </conditionalFormatting>
  <conditionalFormatting sqref="C60:C66 C160:C166 C260:C266 C360:C366 C460:C466">
    <cfRule type="expression" dxfId="106" priority="42">
      <formula>C60=""</formula>
    </cfRule>
  </conditionalFormatting>
  <conditionalFormatting sqref="C68:C70 C168:C170 C268:C270 C368:C370 C468:C470">
    <cfRule type="expression" dxfId="105" priority="41">
      <formula>C68=""</formula>
    </cfRule>
  </conditionalFormatting>
  <conditionalFormatting sqref="C72:C73 C75:C76 C84:C85 C87:C88 C90:C91 C172:C173 C175:C176 C184:C185 C187:C188 C190:C191 C272:C273 C275:C276 C284:C285 C287:C288 C290:C291 C372:C373 C375:C376 C384:C385 C387:C388 C390:C391 C472:C473 C475:C476 C484:C485 C487:C488 C490:C491">
    <cfRule type="expression" dxfId="104" priority="40">
      <formula>C72=""</formula>
    </cfRule>
  </conditionalFormatting>
  <conditionalFormatting sqref="C77:C82 C177:C182 C277:C282 C377:C382 C477:C482">
    <cfRule type="expression" dxfId="103" priority="35">
      <formula>C77=""</formula>
    </cfRule>
  </conditionalFormatting>
  <conditionalFormatting sqref="C93:C100 C193:C200 C293:C300 C393:C400 C493:C500">
    <cfRule type="expression" dxfId="102" priority="34">
      <formula>C93=""</formula>
    </cfRule>
  </conditionalFormatting>
  <conditionalFormatting sqref="C102 C202 C302 C402 C502">
    <cfRule type="expression" dxfId="101" priority="33">
      <formula>C102=""</formula>
    </cfRule>
  </conditionalFormatting>
  <conditionalFormatting sqref="C5 C105 C205 C305 C405">
    <cfRule type="expression" dxfId="100" priority="31">
      <formula>C5=""</formula>
    </cfRule>
  </conditionalFormatting>
  <conditionalFormatting sqref="I19:J33">
    <cfRule type="expression" dxfId="99" priority="12" stopIfTrue="1">
      <formula>L19&lt;&gt;""</formula>
    </cfRule>
  </conditionalFormatting>
  <conditionalFormatting sqref="H19:H33">
    <cfRule type="expression" dxfId="98" priority="11" stopIfTrue="1">
      <formula>K19&lt;&gt;""</formula>
    </cfRule>
  </conditionalFormatting>
  <conditionalFormatting sqref="E5">
    <cfRule type="expression" dxfId="97" priority="9">
      <formula>B5="SM"</formula>
    </cfRule>
    <cfRule type="expression" dxfId="96" priority="10">
      <formula>B5="UL"</formula>
    </cfRule>
  </conditionalFormatting>
  <conditionalFormatting sqref="E105">
    <cfRule type="expression" dxfId="95" priority="7">
      <formula>B105="SM"</formula>
    </cfRule>
    <cfRule type="expression" dxfId="94" priority="8">
      <formula>B105="UL"</formula>
    </cfRule>
  </conditionalFormatting>
  <conditionalFormatting sqref="E205">
    <cfRule type="expression" dxfId="93" priority="5">
      <formula>B205="SM"</formula>
    </cfRule>
    <cfRule type="expression" dxfId="92" priority="6">
      <formula>B205="UL"</formula>
    </cfRule>
  </conditionalFormatting>
  <conditionalFormatting sqref="E305">
    <cfRule type="expression" dxfId="91" priority="3">
      <formula>B305="SM"</formula>
    </cfRule>
    <cfRule type="expression" dxfId="90" priority="4">
      <formula>B305="UL"</formula>
    </cfRule>
  </conditionalFormatting>
  <conditionalFormatting sqref="E405">
    <cfRule type="expression" dxfId="89" priority="1">
      <formula>B405="SM"</formula>
    </cfRule>
    <cfRule type="expression" dxfId="88" priority="2">
      <formula>B405="UL"</formula>
    </cfRule>
  </conditionalFormatting>
  <dataValidations count="3">
    <dataValidation type="list" allowBlank="1" showInputMessage="1" showErrorMessage="1" sqref="C10 C19 C22:C23 C29 C31 C33 C35 C37 C41 C43 C49 C61:C65 C69 C81 C95 C97 C99 C110 C210 C119 C219 C122:C123 C222:C223 C129 C229 C131 C231 C133 C233 C135 C235 C137 C237 C141 C241 C143 C243 C149 C249 C161:C165 C261:C265 C169 C269 C181 C281 C195 C295 C197 C297 C199 C299 C310 C410 C319 C419 C322:C323 C422:C423 C329 C429 C331 C431 C333 C433 C335 C435 C337 C437 C341 C441 C343 C443 C349 C449 C361:C365 C461:C465 C369 C469 C381 C481 C395 C495 C397 C497 C399 C499 C25" xr:uid="{7E594762-56AA-4B2B-8C8B-6A298E392242}">
      <formula1>janej</formula1>
    </dataValidation>
    <dataValidation allowBlank="1" showInputMessage="1" showErrorMessage="1" sqref="E7 E3 D1:D1048576" xr:uid="{A62DB55C-007F-4B67-AD11-FB2BA656C41D}"/>
    <dataValidation type="list" allowBlank="1" showInputMessage="1" showErrorMessage="1" sqref="C205 C5 C105 C305 C405" xr:uid="{6D7631B0-CC04-4ABB-B17D-36D3E2EA35D9}">
      <formula1>aftaler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xr:uid="{F31109F1-6947-4823-9BB5-7EB3577DE59F}">
          <x14:formula1>
            <xm:f>Datavalidering!$AX$3:$AX$8</xm:f>
          </x14:formula1>
          <xm:sqref>C13 C113 C213 C313 C413</xm:sqref>
        </x14:dataValidation>
        <x14:dataValidation type="list" allowBlank="1" showInputMessage="1" showErrorMessage="1" xr:uid="{10FE546A-C1A5-49BF-9CF4-4B900BCD7FEC}">
          <x14:formula1>
            <xm:f>Datavalidering!$AY$3:$AY$8</xm:f>
          </x14:formula1>
          <xm:sqref>C15 C115 C215 C315 C415</xm:sqref>
        </x14:dataValidation>
        <x14:dataValidation type="list" allowBlank="1" showInputMessage="1" showErrorMessage="1" xr:uid="{5504C5A4-1109-4549-823F-B963AAFF3ABF}">
          <x14:formula1>
            <xm:f>Datavalidering!$AZ$3:$AZ$4</xm:f>
          </x14:formula1>
          <xm:sqref>C17 C117 C217 C317 C417</xm:sqref>
        </x14:dataValidation>
        <x14:dataValidation type="list" allowBlank="1" showInputMessage="1" showErrorMessage="1" xr:uid="{7EC55454-A5FA-4129-B03C-5B839994DC4C}">
          <x14:formula1>
            <xm:f>Datavalidering!$BA$3:$BA$11</xm:f>
          </x14:formula1>
          <xm:sqref>C20 C120 C220 C320 C420</xm:sqref>
        </x14:dataValidation>
        <x14:dataValidation type="list" allowBlank="1" showInputMessage="1" showErrorMessage="1" xr:uid="{11B12637-8B6F-45E1-8784-452823599D04}">
          <x14:formula1>
            <xm:f>Datavalidering!$B$3:$B$5</xm:f>
          </x14:formula1>
          <xm:sqref>C24 C124 C224 C324 C424</xm:sqref>
        </x14:dataValidation>
        <x14:dataValidation type="list" allowBlank="1" showInputMessage="1" showErrorMessage="1" xr:uid="{166B2C3E-C3A8-4B5A-AAF3-9ECDB36AF236}">
          <x14:formula1>
            <xm:f>Datavalidering!$BC$3:$BC$4</xm:f>
          </x14:formula1>
          <xm:sqref>C38 C138 C238 C338 C438</xm:sqref>
        </x14:dataValidation>
        <x14:dataValidation type="list" allowBlank="1" showInputMessage="1" showErrorMessage="1" xr:uid="{92AAC2E5-233A-46B2-931A-B04306238569}">
          <x14:formula1>
            <xm:f>Datavalidering!$B$25:$B$32</xm:f>
          </x14:formula1>
          <xm:sqref>C47 C147 C247 C347 C447</xm:sqref>
        </x14:dataValidation>
        <x14:dataValidation type="list" allowBlank="1" showInputMessage="1" showErrorMessage="1" xr:uid="{1936868F-1510-4EF5-94BD-2B0CE2A3DBEC}">
          <x14:formula1>
            <xm:f>Datavalidering!$BD$3:$BD$7</xm:f>
          </x14:formula1>
          <xm:sqref>C50:C55 C150:C155 C250:C255 C350:C355 C450:C455</xm:sqref>
        </x14:dataValidation>
        <x14:dataValidation type="list" allowBlank="1" showInputMessage="1" showErrorMessage="1" xr:uid="{191C54BE-6943-4C02-AB09-3F768619AE16}">
          <x14:formula1>
            <xm:f>Datavalidering!$BF$3:$BF$4</xm:f>
          </x14:formula1>
          <xm:sqref>C60 C160 C260 C360 C460</xm:sqref>
        </x14:dataValidation>
        <x14:dataValidation type="list" allowBlank="1" showInputMessage="1" showErrorMessage="1" xr:uid="{459B7364-0B9E-4E09-A921-544FBCF3AC4B}">
          <x14:formula1>
            <xm:f>Datavalidering!$BG$3:$BG$9</xm:f>
          </x14:formula1>
          <xm:sqref>C80 C180 C280 C380 C480</xm:sqref>
        </x14:dataValidation>
        <x14:dataValidation type="list" allowBlank="1" showInputMessage="1" showErrorMessage="1" xr:uid="{9E88ED7E-EC33-4017-B46C-EDC007CCFFF8}">
          <x14:formula1>
            <xm:f>Datavalidering!$BH$3:$BH$4</xm:f>
          </x14:formula1>
          <xm:sqref>C82 C182 C282 C382 C482</xm:sqref>
        </x14:dataValidation>
        <x14:dataValidation type="list" allowBlank="1" showInputMessage="1" showErrorMessage="1" xr:uid="{A2E5B019-DCFD-4526-B96A-70B60778F421}">
          <x14:formula1>
            <xm:f>Datavalidering!$BI$3:$BI$6</xm:f>
          </x14:formula1>
          <xm:sqref>C94 C194 C294 C394 C494</xm:sqref>
        </x14:dataValidation>
        <x14:dataValidation type="list" allowBlank="1" showInputMessage="1" showErrorMessage="1" xr:uid="{14B2FC46-84EF-4025-957E-E3578764147E}">
          <x14:formula1>
            <xm:f>Datavalidering!$BB$3:$BB$6</xm:f>
          </x14:formula1>
          <xm:sqref>C26 C426 C326 C226 C126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828274-7AC3-4A7B-BD5D-3105C0A5BE27}">
  <sheetPr>
    <tabColor theme="6"/>
  </sheetPr>
  <dimension ref="A1:V527"/>
  <sheetViews>
    <sheetView workbookViewId="0">
      <pane ySplit="2" topLeftCell="B42" activePane="bottomLeft" state="frozen"/>
      <selection pane="bottomLeft" activeCell="C64" sqref="C64"/>
    </sheetView>
  </sheetViews>
  <sheetFormatPr defaultRowHeight="15"/>
  <cols>
    <col min="1" max="1" width="31.7109375" customWidth="1"/>
    <col min="2" max="2" width="26" customWidth="1"/>
    <col min="3" max="3" width="17.85546875" customWidth="1"/>
    <col min="4" max="4" width="22.42578125" customWidth="1"/>
    <col min="5" max="5" width="23.85546875" customWidth="1"/>
    <col min="6" max="6" width="15.7109375" customWidth="1"/>
    <col min="17" max="17" width="25" customWidth="1"/>
    <col min="18" max="18" width="23.85546875" customWidth="1"/>
    <col min="19" max="19" width="25.7109375" customWidth="1"/>
    <col min="20" max="20" width="47.5703125" customWidth="1"/>
    <col min="21" max="21" width="31" customWidth="1"/>
    <col min="22" max="22" width="26.42578125" customWidth="1"/>
  </cols>
  <sheetData>
    <row r="1" spans="1:22" ht="24">
      <c r="A1" s="7" t="s">
        <v>308</v>
      </c>
      <c r="B1" s="1" t="s">
        <v>16</v>
      </c>
      <c r="C1" s="1" t="s">
        <v>17</v>
      </c>
      <c r="D1" s="1" t="s">
        <v>18</v>
      </c>
      <c r="E1" s="1" t="s">
        <v>19</v>
      </c>
      <c r="F1" s="1" t="s">
        <v>20</v>
      </c>
      <c r="Q1" s="1" t="s">
        <v>309</v>
      </c>
    </row>
    <row r="2" spans="1:22">
      <c r="B2" t="str" cm="1">
        <f t="array" ref="B2">cpr</f>
        <v>123498-1234</v>
      </c>
      <c r="C2" t="str" cm="1">
        <f t="array" ref="C2">fornavn</f>
        <v>Nomina</v>
      </c>
      <c r="D2" t="str" cm="1">
        <f t="array" ref="D2">mellemnavn</f>
        <v>Medius</v>
      </c>
      <c r="E2" t="str" cm="1">
        <f t="array" ref="E2">efternavn</f>
        <v>Suffix</v>
      </c>
      <c r="F2" cm="1">
        <f t="array" ref="F2">alder</f>
        <v>27</v>
      </c>
    </row>
    <row r="3" spans="1:22">
      <c r="A3" t="s">
        <v>310</v>
      </c>
      <c r="B3" t="s">
        <v>183</v>
      </c>
      <c r="C3">
        <f ca="1">COUNTIF(Datavalidering!K34:K44,"&lt;&gt;0")</f>
        <v>1</v>
      </c>
    </row>
    <row r="4" spans="1:22">
      <c r="A4" s="9" t="s">
        <v>311</v>
      </c>
      <c r="B4" s="10"/>
      <c r="C4" s="34" t="s">
        <v>27</v>
      </c>
      <c r="D4" s="39" t="s">
        <v>186</v>
      </c>
      <c r="E4" s="32" t="s">
        <v>29</v>
      </c>
      <c r="Q4" s="8" t="s">
        <v>31</v>
      </c>
      <c r="R4" s="8" t="s">
        <v>31</v>
      </c>
      <c r="S4" s="8" t="s">
        <v>31</v>
      </c>
      <c r="T4" s="8" t="s">
        <v>31</v>
      </c>
      <c r="U4" s="8" t="s">
        <v>31</v>
      </c>
      <c r="V4" s="8" t="s">
        <v>31</v>
      </c>
    </row>
    <row r="5" spans="1:22">
      <c r="A5" s="11" t="s">
        <v>312</v>
      </c>
      <c r="B5" s="24" t="str">
        <f ca="1">IF(C5="","",VLOOKUP(C5,AftalerDatoer!$C$3:$G$26,4,FALSE))</f>
        <v>UL</v>
      </c>
      <c r="C5" s="20" t="s">
        <v>30</v>
      </c>
      <c r="D5" s="19">
        <f>IF(C5="","",VLOOKUP(C5,AftalerDatoer!$C$3:$E$26,2,FALSE))</f>
        <v>45729</v>
      </c>
      <c r="E5" s="12" t="str" cm="1">
        <f t="array" aca="1" ref="E5" ca="1">_xlfn.IFS(C5="","",VLOOKUP(C5,AftalerDatoer!$C$3:$H$26,4,FALSE)="SM",VLOOKUP(C5,AftalerDatoer!$C$3:$H$26,3,FALSE),VLOOKUP(C5,AftalerDatoer!$C$3:$H$26,4,FALSE)="UL",VLOOKUP(C5,AftalerDatoer!$C$3:$H$26,5,FALSE))</f>
        <v>8+1</v>
      </c>
    </row>
    <row r="6" spans="1:22">
      <c r="A6" s="11" t="s">
        <v>72</v>
      </c>
      <c r="B6" t="s">
        <v>40</v>
      </c>
      <c r="E6" s="12"/>
    </row>
    <row r="7" spans="1:22">
      <c r="A7" s="69" t="s">
        <v>313</v>
      </c>
      <c r="B7" t="s">
        <v>70</v>
      </c>
      <c r="E7" s="12"/>
    </row>
    <row r="8" spans="1:22">
      <c r="A8" s="69" t="s">
        <v>314</v>
      </c>
      <c r="B8" t="s">
        <v>70</v>
      </c>
      <c r="E8" s="12"/>
    </row>
    <row r="9" spans="1:22">
      <c r="A9" s="11" t="s">
        <v>315</v>
      </c>
      <c r="B9" t="s">
        <v>316</v>
      </c>
      <c r="E9" s="12"/>
    </row>
    <row r="10" spans="1:22">
      <c r="A10" s="11" t="s">
        <v>44</v>
      </c>
      <c r="B10" t="s">
        <v>317</v>
      </c>
      <c r="E10" s="12"/>
    </row>
    <row r="11" spans="1:22">
      <c r="A11" s="11" t="s">
        <v>45</v>
      </c>
      <c r="B11" t="s">
        <v>318</v>
      </c>
      <c r="C11" s="13" t="str">
        <f>IF(C10="","",C9/((C10/100)^2))</f>
        <v/>
      </c>
      <c r="E11" s="40" t="s">
        <v>319</v>
      </c>
    </row>
    <row r="12" spans="1:22" ht="14.25" customHeight="1">
      <c r="A12" s="11" t="s">
        <v>320</v>
      </c>
      <c r="B12" t="s">
        <v>40</v>
      </c>
      <c r="E12" s="12"/>
    </row>
    <row r="13" spans="1:22" ht="14.25" customHeight="1">
      <c r="A13" s="11" t="s">
        <v>321</v>
      </c>
      <c r="B13" t="s">
        <v>40</v>
      </c>
      <c r="E13" s="12"/>
    </row>
    <row r="14" spans="1:22" ht="14.25" customHeight="1">
      <c r="A14" s="11" t="s">
        <v>322</v>
      </c>
      <c r="B14" t="s">
        <v>70</v>
      </c>
      <c r="E14" s="12"/>
    </row>
    <row r="15" spans="1:22" ht="14.25" customHeight="1">
      <c r="A15" s="67" t="s">
        <v>323</v>
      </c>
      <c r="B15" t="s">
        <v>40</v>
      </c>
      <c r="E15" s="12"/>
    </row>
    <row r="16" spans="1:22" ht="14.25" customHeight="1">
      <c r="A16" s="67" t="s">
        <v>324</v>
      </c>
      <c r="B16" t="s">
        <v>325</v>
      </c>
      <c r="E16" s="12"/>
    </row>
    <row r="17" spans="1:22" ht="14.25" customHeight="1">
      <c r="A17" s="67" t="s">
        <v>326</v>
      </c>
      <c r="B17" t="s">
        <v>327</v>
      </c>
      <c r="C17" s="19" cm="1">
        <f t="array" ref="C17">nterm</f>
        <v>45952</v>
      </c>
      <c r="E17" s="12"/>
    </row>
    <row r="18" spans="1:22">
      <c r="A18" s="14" t="s">
        <v>328</v>
      </c>
      <c r="E18" s="12"/>
    </row>
    <row r="19" spans="1:22">
      <c r="A19" s="69" t="s">
        <v>329</v>
      </c>
      <c r="B19" t="s">
        <v>40</v>
      </c>
      <c r="E19" s="12"/>
      <c r="R19" s="84"/>
    </row>
    <row r="20" spans="1:22">
      <c r="A20" s="69" t="s">
        <v>330</v>
      </c>
      <c r="B20" t="s">
        <v>40</v>
      </c>
      <c r="E20" s="12"/>
    </row>
    <row r="21" spans="1:22">
      <c r="A21" s="69" t="s">
        <v>331</v>
      </c>
      <c r="B21" t="s">
        <v>40</v>
      </c>
      <c r="E21" s="12"/>
      <c r="P21" s="1"/>
      <c r="S21" s="1"/>
    </row>
    <row r="22" spans="1:22">
      <c r="A22" s="69" t="s">
        <v>332</v>
      </c>
      <c r="B22" t="s">
        <v>40</v>
      </c>
      <c r="E22" s="12"/>
    </row>
    <row r="23" spans="1:22">
      <c r="A23" s="69" t="s">
        <v>333</v>
      </c>
      <c r="B23" t="s">
        <v>40</v>
      </c>
      <c r="E23" s="12"/>
      <c r="Q23" s="2"/>
    </row>
    <row r="24" spans="1:22">
      <c r="A24" s="69" t="s">
        <v>334</v>
      </c>
      <c r="B24" t="s">
        <v>49</v>
      </c>
      <c r="E24" s="12"/>
      <c r="Q24" s="124" t="str">
        <f>IF(C24="","",VLOOKUP(C24,snomed2,3,FALSE))</f>
        <v/>
      </c>
      <c r="T24" s="124" t="str">
        <f>IF(Q24="","",VLOOKUP(Q24,snomed,3,FALSE))</f>
        <v/>
      </c>
    </row>
    <row r="25" spans="1:22">
      <c r="A25" s="14" t="s">
        <v>335</v>
      </c>
      <c r="E25" s="12"/>
      <c r="Q25" s="121"/>
      <c r="T25" s="121"/>
    </row>
    <row r="26" spans="1:22">
      <c r="A26" s="11" t="s">
        <v>336</v>
      </c>
      <c r="B26" t="s">
        <v>337</v>
      </c>
      <c r="E26" s="12"/>
      <c r="P26" s="149"/>
      <c r="Q26" s="121"/>
      <c r="T26" s="121"/>
    </row>
    <row r="27" spans="1:22">
      <c r="A27" s="11" t="s">
        <v>338</v>
      </c>
      <c r="C27" s="1" t="s">
        <v>339</v>
      </c>
      <c r="D27" s="1" t="s">
        <v>340</v>
      </c>
      <c r="E27" s="40" t="s">
        <v>341</v>
      </c>
      <c r="P27" s="1"/>
      <c r="Q27" s="121"/>
      <c r="T27" s="121"/>
    </row>
    <row r="28" spans="1:22">
      <c r="A28" s="11" t="s">
        <v>342</v>
      </c>
      <c r="B28" t="s">
        <v>40</v>
      </c>
      <c r="E28" s="12"/>
      <c r="Q28" s="121"/>
      <c r="T28" s="121"/>
    </row>
    <row r="29" spans="1:22">
      <c r="A29" s="11" t="s">
        <v>343</v>
      </c>
      <c r="B29" t="s">
        <v>49</v>
      </c>
      <c r="E29" s="12"/>
      <c r="Q29" s="122" t="str">
        <f>IF(C29="","",VLOOKUP(C29,snomed2,3,FALSE))</f>
        <v/>
      </c>
      <c r="R29" s="150" t="str">
        <f>IF(D29="","",VLOOKUP(D29,snomed2,3,FALSE))</f>
        <v/>
      </c>
      <c r="S29" s="124" t="str">
        <f>IF(E29="","",VLOOKUP(E29,snomed2,3,FALSE))</f>
        <v/>
      </c>
      <c r="T29" s="27" t="str">
        <f>IF(Q29="","",VLOOKUP(Q29,snomed,3,FALSE))</f>
        <v/>
      </c>
      <c r="U29" s="124" t="str">
        <f>IF(R29="","",VLOOKUP(R29,snomed,3,FALSE))</f>
        <v/>
      </c>
      <c r="V29" s="124" t="str">
        <f>IF(S29="","",VLOOKUP(S29,snomed,3,FALSE))</f>
        <v/>
      </c>
    </row>
    <row r="30" spans="1:22">
      <c r="A30" s="11" t="s">
        <v>344</v>
      </c>
      <c r="B30" t="s">
        <v>49</v>
      </c>
      <c r="E30" s="12"/>
      <c r="Q30" s="122" t="str">
        <f>IF(C30="","",VLOOKUP(C30,snomed2,3,FALSE))</f>
        <v/>
      </c>
      <c r="R30" s="151" t="str">
        <f>IF(D30="","",VLOOKUP(D30,snomed2,3,FALSE))</f>
        <v/>
      </c>
      <c r="S30" s="122" t="str">
        <f>IF(E30="","",VLOOKUP(E30,snomed2,3,FALSE))</f>
        <v/>
      </c>
      <c r="T30" s="27" t="str">
        <f>IF(Q30="","",VLOOKUP(Q30,snomed,3,FALSE))</f>
        <v/>
      </c>
      <c r="U30" s="122" t="str">
        <f>IF(R30="","",VLOOKUP(R30,snomed,3,FALSE))</f>
        <v/>
      </c>
      <c r="V30" s="122" t="str">
        <f>IF(S30="","",VLOOKUP(S30,snomed,3,FALSE))</f>
        <v/>
      </c>
    </row>
    <row r="31" spans="1:22">
      <c r="A31" s="11" t="s">
        <v>345</v>
      </c>
      <c r="B31" t="s">
        <v>49</v>
      </c>
      <c r="E31" s="12"/>
      <c r="Q31" s="122" t="str">
        <f>IF(C31="","",VLOOKUP(C31,snomed2,3,FALSE))</f>
        <v/>
      </c>
      <c r="R31" s="151" t="str">
        <f>IF(D31="","",VLOOKUP(D31,snomed2,3,FALSE))</f>
        <v/>
      </c>
      <c r="S31" s="122" t="str">
        <f>IF(E31="","",VLOOKUP(E31,snomed2,3,FALSE))</f>
        <v/>
      </c>
      <c r="T31" s="27" t="str">
        <f>IF(Q31="","",VLOOKUP(Q31,snomed,3,FALSE))</f>
        <v/>
      </c>
      <c r="U31" s="122" t="str">
        <f>IF(R31="","",VLOOKUP(R31,snomed,3,FALSE))</f>
        <v/>
      </c>
      <c r="V31" s="122" t="str">
        <f>IF(S31="","",VLOOKUP(S31,snomed,3,FALSE))</f>
        <v/>
      </c>
    </row>
    <row r="32" spans="1:22" ht="23.25" customHeight="1">
      <c r="A32" s="67" t="s">
        <v>346</v>
      </c>
      <c r="B32" t="s">
        <v>49</v>
      </c>
      <c r="E32" s="12"/>
      <c r="Q32" s="122" t="str">
        <f>IF(C32="","",VLOOKUP(C32,snomed2,3,FALSE))</f>
        <v/>
      </c>
      <c r="R32" s="151" t="str">
        <f>IF(D32="","",VLOOKUP(D32,snomed2,3,FALSE))</f>
        <v/>
      </c>
      <c r="S32" s="122" t="str">
        <f>IF(E32="","",VLOOKUP(E32,snomed2,3,FALSE))</f>
        <v/>
      </c>
      <c r="T32" s="27" t="str">
        <f>IF(Q32="","",VLOOKUP(Q32,snomed,3,FALSE))</f>
        <v/>
      </c>
      <c r="U32" s="122" t="str">
        <f>IF(R32="","",VLOOKUP(R32,snomed,3,FALSE))</f>
        <v/>
      </c>
      <c r="V32" s="122" t="str">
        <f>IF(S32="","",VLOOKUP(S32,snomed,3,FALSE))</f>
        <v/>
      </c>
    </row>
    <row r="33" spans="1:22">
      <c r="A33" s="67" t="s">
        <v>347</v>
      </c>
      <c r="B33" t="s">
        <v>49</v>
      </c>
      <c r="E33" s="12"/>
      <c r="Q33" s="122" t="str">
        <f>IF(C33="","",VLOOKUP(C33,snomed2,3,FALSE))</f>
        <v/>
      </c>
      <c r="R33" s="151" t="str">
        <f>IF(D33="","",VLOOKUP(D33,snomed2,3,FALSE))</f>
        <v/>
      </c>
      <c r="S33" s="122" t="str">
        <f>IF(E33="","",VLOOKUP(E33,snomed2,3,FALSE))</f>
        <v/>
      </c>
      <c r="T33" s="27" t="str">
        <f>IF(Q33="","",VLOOKUP(Q33,snomed,3,FALSE))</f>
        <v/>
      </c>
      <c r="U33" s="122" t="str">
        <f>IF(R33="","",VLOOKUP(R33,snomed,3,FALSE))</f>
        <v/>
      </c>
      <c r="V33" s="122" t="str">
        <f>IF(S33="","",VLOOKUP(S33,snomed,3,FALSE))</f>
        <v/>
      </c>
    </row>
    <row r="34" spans="1:22">
      <c r="A34" s="67" t="s">
        <v>348</v>
      </c>
      <c r="B34" t="s">
        <v>43</v>
      </c>
      <c r="E34" s="12"/>
      <c r="Q34" s="121"/>
      <c r="R34" s="152"/>
      <c r="S34" s="121"/>
      <c r="T34" s="2"/>
      <c r="U34" s="121"/>
      <c r="V34" s="121"/>
    </row>
    <row r="35" spans="1:22">
      <c r="A35" s="67" t="s">
        <v>349</v>
      </c>
      <c r="B35" t="s">
        <v>43</v>
      </c>
      <c r="C35" s="96"/>
      <c r="D35" s="96" t="str">
        <f ca="1">IF(LEFT($E5,2)&lt;25,"",IF(D34="","",(D34/VLOOKUP($E5,marsal,3,FALSE))-1))</f>
        <v/>
      </c>
      <c r="E35" s="140" t="str">
        <f ca="1">IF(LEFT($E5,2)&lt;25,"",IF(E34="","",(E34/VLOOKUP($E5,marsal,3,FALSE))-1))</f>
        <v/>
      </c>
      <c r="Q35" s="121"/>
      <c r="R35" s="152"/>
      <c r="S35" s="121"/>
      <c r="T35" s="2"/>
      <c r="U35" s="121"/>
      <c r="V35" s="121"/>
    </row>
    <row r="36" spans="1:22">
      <c r="A36" s="67" t="s">
        <v>350</v>
      </c>
      <c r="B36" t="s">
        <v>49</v>
      </c>
      <c r="C36" t="s">
        <v>351</v>
      </c>
      <c r="E36" s="12"/>
      <c r="Q36" s="122">
        <f>IF(C36="","",VLOOKUP(C36,fostervand_snom,2,FALSE))</f>
        <v>278092006</v>
      </c>
      <c r="R36" s="122" t="str">
        <f>IF(D36="","",VLOOKUP(D36,fostervand_snom,2,FALSE))</f>
        <v/>
      </c>
      <c r="S36" s="122" t="str">
        <f>IF(E36="","",VLOOKUP(E36,fostervand_snom,2,FALSE))</f>
        <v/>
      </c>
      <c r="T36" s="27" t="str">
        <f>IF(Q36="","",VLOOKUP(Q36,snomed,3,FALSE))</f>
        <v>mængde af amnionvæske inden for referenceinterval</v>
      </c>
      <c r="U36" s="122" t="str">
        <f>IF(R36="","",VLOOKUP(R36,snomed,3,FALSE))</f>
        <v/>
      </c>
      <c r="V36" s="122" t="str">
        <f>IF(S36="","",VLOOKUP(S36,snomed,3,FALSE))</f>
        <v/>
      </c>
    </row>
    <row r="37" spans="1:22">
      <c r="A37" s="68" t="s">
        <v>352</v>
      </c>
      <c r="B37" s="15" t="s">
        <v>40</v>
      </c>
      <c r="C37" s="15"/>
      <c r="D37" s="15"/>
      <c r="E37" s="16"/>
      <c r="Q37" s="123"/>
      <c r="R37" s="153"/>
      <c r="S37" s="123"/>
      <c r="T37" s="156"/>
      <c r="U37" s="123"/>
      <c r="V37" s="123"/>
    </row>
    <row r="38" spans="1:22">
      <c r="Q38" s="2"/>
    </row>
    <row r="39" spans="1:22">
      <c r="A39" s="9" t="s">
        <v>353</v>
      </c>
      <c r="B39" s="10"/>
      <c r="C39" s="34" t="s">
        <v>27</v>
      </c>
      <c r="D39" s="39" t="s">
        <v>186</v>
      </c>
      <c r="E39" s="32" t="s">
        <v>29</v>
      </c>
    </row>
    <row r="40" spans="1:22">
      <c r="A40" s="11" t="s">
        <v>312</v>
      </c>
      <c r="B40" s="24" t="str">
        <f>IF(C40="","",VLOOKUP(C40,AftalerDatoer!$C$3:$G$26,4,FALSE))</f>
        <v/>
      </c>
      <c r="C40" s="20"/>
      <c r="D40" s="19" t="str">
        <f>IF(C40="","",VLOOKUP(C40,AftalerDatoer!$C$3:$E$26,2,FALSE))</f>
        <v/>
      </c>
      <c r="E40" s="12" t="str" cm="1">
        <f t="array" ref="E40">_xlfn.IFS(C40="","",VLOOKUP(C40,AftalerDatoer!$C$3:$H$26,4,FALSE)="SM",VLOOKUP(C40,AftalerDatoer!$C$3:$H$26,3,FALSE),VLOOKUP(C40,AftalerDatoer!$C$3:$H$26,4,FALSE)="UL",VLOOKUP(C40,AftalerDatoer!$C$3:$H$26,5,FALSE))</f>
        <v/>
      </c>
    </row>
    <row r="41" spans="1:22">
      <c r="A41" s="11" t="s">
        <v>72</v>
      </c>
      <c r="B41" t="s">
        <v>40</v>
      </c>
      <c r="C41" s="82"/>
      <c r="D41" s="82"/>
      <c r="E41" s="12"/>
    </row>
    <row r="42" spans="1:22">
      <c r="A42" s="11" t="s">
        <v>313</v>
      </c>
      <c r="B42" t="s">
        <v>70</v>
      </c>
      <c r="C42" s="82"/>
      <c r="E42" s="12"/>
    </row>
    <row r="43" spans="1:22">
      <c r="A43" s="11" t="s">
        <v>314</v>
      </c>
      <c r="B43" t="s">
        <v>70</v>
      </c>
      <c r="E43" s="12"/>
    </row>
    <row r="44" spans="1:22">
      <c r="A44" s="11" t="s">
        <v>315</v>
      </c>
      <c r="B44" t="s">
        <v>316</v>
      </c>
      <c r="E44" s="12"/>
    </row>
    <row r="45" spans="1:22">
      <c r="A45" s="11" t="s">
        <v>44</v>
      </c>
      <c r="B45" t="s">
        <v>317</v>
      </c>
      <c r="E45" s="12"/>
    </row>
    <row r="46" spans="1:22">
      <c r="A46" s="11" t="s">
        <v>45</v>
      </c>
      <c r="B46" t="s">
        <v>318</v>
      </c>
      <c r="C46" s="13" t="str">
        <f>IF(C45="","",C44/((C45/100)^2))</f>
        <v/>
      </c>
      <c r="E46" s="40" t="s">
        <v>319</v>
      </c>
    </row>
    <row r="47" spans="1:22">
      <c r="A47" s="11" t="s">
        <v>320</v>
      </c>
      <c r="B47" t="s">
        <v>40</v>
      </c>
      <c r="E47" s="166"/>
    </row>
    <row r="48" spans="1:22">
      <c r="A48" s="11" t="s">
        <v>321</v>
      </c>
      <c r="B48" t="s">
        <v>40</v>
      </c>
      <c r="E48" s="166"/>
    </row>
    <row r="49" spans="1:22">
      <c r="A49" s="11" t="s">
        <v>322</v>
      </c>
      <c r="B49" t="s">
        <v>70</v>
      </c>
      <c r="E49" s="166"/>
    </row>
    <row r="50" spans="1:22">
      <c r="A50" s="67" t="s">
        <v>323</v>
      </c>
      <c r="B50" t="s">
        <v>40</v>
      </c>
      <c r="E50" s="166"/>
    </row>
    <row r="51" spans="1:22">
      <c r="A51" s="67" t="s">
        <v>324</v>
      </c>
      <c r="B51" t="s">
        <v>325</v>
      </c>
      <c r="E51" s="166"/>
    </row>
    <row r="52" spans="1:22">
      <c r="A52" s="67" t="s">
        <v>326</v>
      </c>
      <c r="B52" t="s">
        <v>327</v>
      </c>
      <c r="C52" s="19"/>
      <c r="E52" s="166"/>
    </row>
    <row r="53" spans="1:22">
      <c r="A53" s="14" t="s">
        <v>328</v>
      </c>
      <c r="E53" s="12"/>
    </row>
    <row r="54" spans="1:22">
      <c r="A54" s="11" t="s">
        <v>329</v>
      </c>
      <c r="B54" t="s">
        <v>40</v>
      </c>
      <c r="E54" s="12"/>
      <c r="R54" s="84"/>
      <c r="S54" s="84"/>
    </row>
    <row r="55" spans="1:22">
      <c r="A55" s="11" t="s">
        <v>330</v>
      </c>
      <c r="B55" t="s">
        <v>40</v>
      </c>
      <c r="E55" s="12"/>
    </row>
    <row r="56" spans="1:22">
      <c r="A56" s="11" t="s">
        <v>331</v>
      </c>
      <c r="B56" t="s">
        <v>40</v>
      </c>
      <c r="E56" s="12"/>
    </row>
    <row r="57" spans="1:22">
      <c r="A57" s="11" t="s">
        <v>332</v>
      </c>
      <c r="B57" t="s">
        <v>40</v>
      </c>
      <c r="E57" s="12"/>
    </row>
    <row r="58" spans="1:22">
      <c r="A58" s="11" t="s">
        <v>333</v>
      </c>
      <c r="B58" t="s">
        <v>40</v>
      </c>
      <c r="E58" s="12"/>
      <c r="Q58" s="2"/>
    </row>
    <row r="59" spans="1:22">
      <c r="A59" s="11" t="s">
        <v>334</v>
      </c>
      <c r="B59" t="s">
        <v>49</v>
      </c>
      <c r="E59" s="12"/>
      <c r="Q59" s="124" t="str">
        <f>IF(C59="","",VLOOKUP(C59,snomed2,3,FALSE))</f>
        <v/>
      </c>
      <c r="T59" s="124" t="str">
        <f>IF(Q59="","",VLOOKUP(Q59,snomed,3,FALSE))</f>
        <v/>
      </c>
    </row>
    <row r="60" spans="1:22">
      <c r="A60" s="14" t="s">
        <v>335</v>
      </c>
      <c r="E60" s="12"/>
      <c r="Q60" s="121"/>
      <c r="T60" s="121"/>
    </row>
    <row r="61" spans="1:22">
      <c r="A61" s="11" t="s">
        <v>336</v>
      </c>
      <c r="B61" t="s">
        <v>337</v>
      </c>
      <c r="E61" s="12"/>
      <c r="P61" s="149"/>
      <c r="Q61" s="121"/>
      <c r="T61" s="121"/>
    </row>
    <row r="62" spans="1:22">
      <c r="A62" s="11" t="s">
        <v>338</v>
      </c>
      <c r="C62" s="1" t="s">
        <v>339</v>
      </c>
      <c r="D62" s="1" t="s">
        <v>340</v>
      </c>
      <c r="E62" s="40" t="s">
        <v>341</v>
      </c>
      <c r="P62" s="1"/>
      <c r="Q62" s="121"/>
      <c r="T62" s="121"/>
    </row>
    <row r="63" spans="1:22">
      <c r="A63" s="11" t="s">
        <v>342</v>
      </c>
      <c r="B63" t="s">
        <v>40</v>
      </c>
      <c r="E63" s="12"/>
      <c r="Q63" s="121"/>
      <c r="T63" s="121"/>
    </row>
    <row r="64" spans="1:22">
      <c r="A64" s="11" t="s">
        <v>343</v>
      </c>
      <c r="B64" t="s">
        <v>49</v>
      </c>
      <c r="E64" s="12"/>
      <c r="Q64" s="122" t="str">
        <f>IF(C64="","",VLOOKUP(C64,snomed2,3,FALSE))</f>
        <v/>
      </c>
      <c r="R64" s="150" t="str">
        <f>IF(D64="","",VLOOKUP(D64,snomed2,3,FALSE))</f>
        <v/>
      </c>
      <c r="S64" s="124" t="str">
        <f>IF(E64="","",VLOOKUP(E64,snomed2,3,FALSE))</f>
        <v/>
      </c>
      <c r="T64" s="27" t="str">
        <f>IF(Q64="","",VLOOKUP(Q64,snomed,3,FALSE))</f>
        <v/>
      </c>
      <c r="U64" s="124" t="str">
        <f>IF(R64="","",VLOOKUP(R64,snomed,3,FALSE))</f>
        <v/>
      </c>
      <c r="V64" s="124" t="str">
        <f>IF(S64="","",VLOOKUP(S64,snomed,3,FALSE))</f>
        <v/>
      </c>
    </row>
    <row r="65" spans="1:22">
      <c r="A65" s="11" t="s">
        <v>344</v>
      </c>
      <c r="B65" t="s">
        <v>49</v>
      </c>
      <c r="E65" s="12"/>
      <c r="Q65" s="122" t="str">
        <f>IF(C65="","",VLOOKUP(C65,snomed2,3,FALSE))</f>
        <v/>
      </c>
      <c r="R65" s="151" t="str">
        <f>IF(D65="","",VLOOKUP(D65,snomed2,3,FALSE))</f>
        <v/>
      </c>
      <c r="S65" s="122" t="str">
        <f>IF(E65="","",VLOOKUP(E65,snomed2,3,FALSE))</f>
        <v/>
      </c>
      <c r="T65" s="27" t="str">
        <f>IF(Q65="","",VLOOKUP(Q65,snomed,3,FALSE))</f>
        <v/>
      </c>
      <c r="U65" s="122" t="str">
        <f>IF(R65="","",VLOOKUP(R65,snomed,3,FALSE))</f>
        <v/>
      </c>
      <c r="V65" s="122" t="str">
        <f>IF(S65="","",VLOOKUP(S65,snomed,3,FALSE))</f>
        <v/>
      </c>
    </row>
    <row r="66" spans="1:22">
      <c r="A66" s="11" t="s">
        <v>345</v>
      </c>
      <c r="B66" t="s">
        <v>49</v>
      </c>
      <c r="E66" s="12"/>
      <c r="Q66" s="122" t="str">
        <f>IF(C66="","",VLOOKUP(C66,snomed2,3,FALSE))</f>
        <v/>
      </c>
      <c r="R66" s="151" t="str">
        <f>IF(D66="","",VLOOKUP(D66,snomed2,3,FALSE))</f>
        <v/>
      </c>
      <c r="S66" s="122" t="str">
        <f>IF(E66="","",VLOOKUP(E66,snomed2,3,FALSE))</f>
        <v/>
      </c>
      <c r="T66" s="27" t="str">
        <f>IF(Q66="","",VLOOKUP(Q66,snomed,3,FALSE))</f>
        <v/>
      </c>
      <c r="U66" s="122" t="str">
        <f>IF(R66="","",VLOOKUP(R66,snomed,3,FALSE))</f>
        <v/>
      </c>
      <c r="V66" s="122" t="str">
        <f>IF(S66="","",VLOOKUP(S66,snomed,3,FALSE))</f>
        <v/>
      </c>
    </row>
    <row r="67" spans="1:22">
      <c r="A67" s="67" t="s">
        <v>346</v>
      </c>
      <c r="B67" t="s">
        <v>49</v>
      </c>
      <c r="E67" s="12"/>
      <c r="Q67" s="122" t="str">
        <f>IF(C67="","",VLOOKUP(C67,snomed2,3,FALSE))</f>
        <v/>
      </c>
      <c r="R67" s="151" t="str">
        <f>IF(D67="","",VLOOKUP(D67,snomed2,3,FALSE))</f>
        <v/>
      </c>
      <c r="S67" s="122" t="str">
        <f>IF(E67="","",VLOOKUP(E67,snomed2,3,FALSE))</f>
        <v/>
      </c>
      <c r="T67" s="27" t="str">
        <f>IF(Q67="","",VLOOKUP(Q67,snomed,3,FALSE))</f>
        <v/>
      </c>
      <c r="U67" s="122" t="str">
        <f>IF(R67="","",VLOOKUP(R67,snomed,3,FALSE))</f>
        <v/>
      </c>
      <c r="V67" s="122" t="str">
        <f>IF(S67="","",VLOOKUP(S67,snomed,3,FALSE))</f>
        <v/>
      </c>
    </row>
    <row r="68" spans="1:22">
      <c r="A68" s="67" t="s">
        <v>347</v>
      </c>
      <c r="B68" t="s">
        <v>49</v>
      </c>
      <c r="E68" s="12"/>
      <c r="Q68" s="122" t="str">
        <f>IF(C68="","",VLOOKUP(C68,snomed2,3,FALSE))</f>
        <v/>
      </c>
      <c r="R68" s="151" t="str">
        <f>IF(D68="","",VLOOKUP(D68,snomed2,3,FALSE))</f>
        <v/>
      </c>
      <c r="S68" s="122" t="str">
        <f>IF(E68="","",VLOOKUP(E68,snomed2,3,FALSE))</f>
        <v/>
      </c>
      <c r="T68" s="27" t="str">
        <f>IF(Q68="","",VLOOKUP(Q68,snomed,3,FALSE))</f>
        <v/>
      </c>
      <c r="U68" s="122" t="str">
        <f>IF(R68="","",VLOOKUP(R68,snomed,3,FALSE))</f>
        <v/>
      </c>
      <c r="V68" s="122" t="str">
        <f>IF(S68="","",VLOOKUP(S68,snomed,3,FALSE))</f>
        <v/>
      </c>
    </row>
    <row r="69" spans="1:22">
      <c r="A69" s="67" t="s">
        <v>348</v>
      </c>
      <c r="B69" t="s">
        <v>43</v>
      </c>
      <c r="E69" s="12"/>
      <c r="Q69" s="121"/>
      <c r="R69" s="152"/>
      <c r="S69" s="121"/>
      <c r="T69" s="2"/>
      <c r="U69" s="121"/>
      <c r="V69" s="121"/>
    </row>
    <row r="70" spans="1:22">
      <c r="A70" s="67" t="s">
        <v>349</v>
      </c>
      <c r="B70" t="s">
        <v>43</v>
      </c>
      <c r="C70" s="96" t="str">
        <f>IF(LEFT($E40,2)&lt;25,"",IF(C69="","",(C69/VLOOKUP($E40,marsal,3,FALSE))-1))</f>
        <v/>
      </c>
      <c r="D70" s="96" t="str">
        <f>IF(LEFT($E40,2)&lt;25,"",IF(D69="","",(D69/VLOOKUP($E40,marsal,3,FALSE))-1))</f>
        <v/>
      </c>
      <c r="E70" s="140" t="str">
        <f>IF(LEFT($E40,2)&lt;25,"",IF(E69="","",(E69/VLOOKUP($E40,marsal,3,FALSE))-1))</f>
        <v/>
      </c>
      <c r="Q70" s="121"/>
      <c r="R70" s="152"/>
      <c r="S70" s="121"/>
      <c r="T70" s="2"/>
      <c r="U70" s="121"/>
      <c r="V70" s="121"/>
    </row>
    <row r="71" spans="1:22">
      <c r="A71" s="67" t="s">
        <v>350</v>
      </c>
      <c r="B71" t="s">
        <v>49</v>
      </c>
      <c r="C71" t="s">
        <v>351</v>
      </c>
      <c r="E71" s="12"/>
      <c r="Q71" s="122">
        <f>IF(C71="","",VLOOKUP(C71,fostervand_snom,2,FALSE))</f>
        <v>278092006</v>
      </c>
      <c r="R71" s="122" t="str">
        <f>IF(D71="","",VLOOKUP(D71,fostervand_snom,2,FALSE))</f>
        <v/>
      </c>
      <c r="S71" s="122" t="str">
        <f>IF(E71="","",VLOOKUP(E71,fostervand_snom,2,FALSE))</f>
        <v/>
      </c>
      <c r="T71" s="27" t="str">
        <f>IF(Q71="","",VLOOKUP(Q71,snomed,3,FALSE))</f>
        <v>mængde af amnionvæske inden for referenceinterval</v>
      </c>
      <c r="U71" s="122" t="str">
        <f>IF(R71="","",VLOOKUP(R71,snomed,3,FALSE))</f>
        <v/>
      </c>
      <c r="V71" s="122" t="str">
        <f>IF(S71="","",VLOOKUP(S71,snomed,3,FALSE))</f>
        <v/>
      </c>
    </row>
    <row r="72" spans="1:22">
      <c r="A72" s="68" t="s">
        <v>352</v>
      </c>
      <c r="B72" s="15" t="s">
        <v>40</v>
      </c>
      <c r="C72" s="15"/>
      <c r="D72" s="15"/>
      <c r="E72" s="16"/>
      <c r="Q72" s="123"/>
      <c r="R72" s="153"/>
      <c r="S72" s="123"/>
      <c r="T72" s="156"/>
      <c r="U72" s="123"/>
      <c r="V72" s="123"/>
    </row>
    <row r="73" spans="1:22">
      <c r="Q73" s="2"/>
    </row>
    <row r="74" spans="1:22">
      <c r="A74" s="9" t="s">
        <v>354</v>
      </c>
      <c r="B74" s="10"/>
      <c r="C74" s="34" t="s">
        <v>27</v>
      </c>
      <c r="D74" s="39" t="s">
        <v>186</v>
      </c>
      <c r="E74" s="32" t="s">
        <v>29</v>
      </c>
    </row>
    <row r="75" spans="1:22">
      <c r="A75" s="11" t="s">
        <v>312</v>
      </c>
      <c r="B75" s="24" t="str">
        <f>IF(C75="","",VLOOKUP(C75,AftalerDatoer!$C$3:$G$26,4,FALSE))</f>
        <v/>
      </c>
      <c r="C75" s="20"/>
      <c r="D75" s="19" t="str">
        <f>IF(C75="","",VLOOKUP(C75,AftalerDatoer!$C$3:$E$26,2,FALSE))</f>
        <v/>
      </c>
      <c r="E75" s="12" t="str" cm="1">
        <f t="array" ref="E75">_xlfn.IFS(C75="","",VLOOKUP(C75,AftalerDatoer!$C$3:$H$26,4,FALSE)="SM",VLOOKUP(C75,AftalerDatoer!$C$3:$H$26,3,FALSE),VLOOKUP(C75,AftalerDatoer!$C$3:$H$26,4,FALSE)="UL",VLOOKUP(C75,AftalerDatoer!$C$3:$H$26,5,FALSE))</f>
        <v/>
      </c>
    </row>
    <row r="76" spans="1:22">
      <c r="A76" s="11" t="s">
        <v>72</v>
      </c>
      <c r="B76" t="s">
        <v>40</v>
      </c>
      <c r="E76" s="12"/>
    </row>
    <row r="77" spans="1:22">
      <c r="A77" s="11" t="s">
        <v>313</v>
      </c>
      <c r="B77" t="s">
        <v>70</v>
      </c>
      <c r="E77" s="12"/>
    </row>
    <row r="78" spans="1:22">
      <c r="A78" s="11" t="s">
        <v>314</v>
      </c>
      <c r="B78" t="s">
        <v>70</v>
      </c>
      <c r="E78" s="12"/>
    </row>
    <row r="79" spans="1:22">
      <c r="A79" s="11" t="s">
        <v>315</v>
      </c>
      <c r="B79" t="s">
        <v>316</v>
      </c>
      <c r="E79" s="12"/>
    </row>
    <row r="80" spans="1:22">
      <c r="A80" s="11" t="s">
        <v>44</v>
      </c>
      <c r="B80" t="s">
        <v>317</v>
      </c>
      <c r="E80" s="12"/>
    </row>
    <row r="81" spans="1:20">
      <c r="A81" s="11" t="s">
        <v>45</v>
      </c>
      <c r="B81" t="s">
        <v>318</v>
      </c>
      <c r="C81" s="13" t="str">
        <f t="shared" ref="C81" si="0">IF(C80="","",C79/((C80/100)^2))</f>
        <v/>
      </c>
      <c r="E81" s="40" t="s">
        <v>319</v>
      </c>
    </row>
    <row r="82" spans="1:20">
      <c r="A82" s="11" t="s">
        <v>320</v>
      </c>
      <c r="B82" t="s">
        <v>40</v>
      </c>
      <c r="E82" s="166"/>
    </row>
    <row r="83" spans="1:20">
      <c r="A83" s="11" t="s">
        <v>321</v>
      </c>
      <c r="B83" t="s">
        <v>40</v>
      </c>
      <c r="E83" s="166"/>
    </row>
    <row r="84" spans="1:20">
      <c r="A84" s="11" t="s">
        <v>322</v>
      </c>
      <c r="B84" t="s">
        <v>70</v>
      </c>
      <c r="E84" s="166"/>
    </row>
    <row r="85" spans="1:20">
      <c r="A85" s="67" t="s">
        <v>323</v>
      </c>
      <c r="B85" t="s">
        <v>40</v>
      </c>
      <c r="E85" s="166"/>
    </row>
    <row r="86" spans="1:20">
      <c r="A86" s="67" t="s">
        <v>324</v>
      </c>
      <c r="B86" t="s">
        <v>325</v>
      </c>
      <c r="E86" s="166"/>
    </row>
    <row r="87" spans="1:20">
      <c r="A87" s="67" t="s">
        <v>326</v>
      </c>
      <c r="B87" t="s">
        <v>327</v>
      </c>
      <c r="C87" s="19"/>
      <c r="E87" s="166"/>
    </row>
    <row r="88" spans="1:20">
      <c r="A88" s="14" t="s">
        <v>328</v>
      </c>
      <c r="E88" s="12"/>
    </row>
    <row r="89" spans="1:20">
      <c r="A89" s="11" t="s">
        <v>329</v>
      </c>
      <c r="B89" t="s">
        <v>40</v>
      </c>
      <c r="E89" s="12"/>
      <c r="R89" s="84"/>
      <c r="S89" s="84"/>
    </row>
    <row r="90" spans="1:20">
      <c r="A90" s="11" t="s">
        <v>330</v>
      </c>
      <c r="B90" t="s">
        <v>40</v>
      </c>
      <c r="E90" s="12"/>
    </row>
    <row r="91" spans="1:20">
      <c r="A91" s="11" t="s">
        <v>331</v>
      </c>
      <c r="B91" t="s">
        <v>40</v>
      </c>
      <c r="E91" s="12"/>
    </row>
    <row r="92" spans="1:20">
      <c r="A92" s="11" t="s">
        <v>332</v>
      </c>
      <c r="B92" t="s">
        <v>40</v>
      </c>
      <c r="E92" s="12"/>
    </row>
    <row r="93" spans="1:20">
      <c r="A93" s="11" t="s">
        <v>333</v>
      </c>
      <c r="B93" t="s">
        <v>40</v>
      </c>
      <c r="E93" s="12"/>
      <c r="Q93" s="2"/>
    </row>
    <row r="94" spans="1:20">
      <c r="A94" s="11" t="s">
        <v>334</v>
      </c>
      <c r="B94" t="s">
        <v>49</v>
      </c>
      <c r="E94" s="12"/>
      <c r="Q94" s="124" t="str">
        <f>IF(C94="","",VLOOKUP(C94,snomed2,3,FALSE))</f>
        <v/>
      </c>
      <c r="T94" s="124" t="str">
        <f>IF(Q94="","",VLOOKUP(Q94,snomed,3,FALSE))</f>
        <v/>
      </c>
    </row>
    <row r="95" spans="1:20">
      <c r="A95" s="14" t="s">
        <v>335</v>
      </c>
      <c r="E95" s="12"/>
      <c r="Q95" s="121"/>
      <c r="T95" s="121"/>
    </row>
    <row r="96" spans="1:20">
      <c r="A96" s="11" t="s">
        <v>336</v>
      </c>
      <c r="B96" t="s">
        <v>337</v>
      </c>
      <c r="E96" s="12"/>
      <c r="P96" s="149"/>
      <c r="Q96" s="121"/>
      <c r="T96" s="121"/>
    </row>
    <row r="97" spans="1:22">
      <c r="A97" s="11" t="s">
        <v>338</v>
      </c>
      <c r="C97" s="1" t="s">
        <v>339</v>
      </c>
      <c r="D97" s="1" t="s">
        <v>340</v>
      </c>
      <c r="E97" s="40" t="s">
        <v>341</v>
      </c>
      <c r="P97" s="1"/>
      <c r="Q97" s="121"/>
      <c r="T97" s="121"/>
    </row>
    <row r="98" spans="1:22">
      <c r="A98" s="11" t="s">
        <v>342</v>
      </c>
      <c r="B98" t="s">
        <v>40</v>
      </c>
      <c r="E98" s="12"/>
      <c r="Q98" s="121"/>
      <c r="T98" s="121"/>
    </row>
    <row r="99" spans="1:22">
      <c r="A99" s="11" t="s">
        <v>343</v>
      </c>
      <c r="B99" t="s">
        <v>49</v>
      </c>
      <c r="E99" s="12"/>
      <c r="Q99" s="122" t="str">
        <f>IF(C99="","",VLOOKUP(C99,snomed2,3,FALSE))</f>
        <v/>
      </c>
      <c r="R99" s="150" t="str">
        <f>IF(D99="","",VLOOKUP(D99,snomed2,3,FALSE))</f>
        <v/>
      </c>
      <c r="S99" s="124" t="str">
        <f>IF(E99="","",VLOOKUP(E99,snomed2,3,FALSE))</f>
        <v/>
      </c>
      <c r="T99" s="27" t="str">
        <f>IF(Q99="","",VLOOKUP(Q99,snomed,3,FALSE))</f>
        <v/>
      </c>
      <c r="U99" s="124" t="str">
        <f>IF(R99="","",VLOOKUP(R99,snomed,3,FALSE))</f>
        <v/>
      </c>
      <c r="V99" s="124" t="str">
        <f>IF(S99="","",VLOOKUP(S99,snomed,3,FALSE))</f>
        <v/>
      </c>
    </row>
    <row r="100" spans="1:22">
      <c r="A100" s="11" t="s">
        <v>344</v>
      </c>
      <c r="B100" t="s">
        <v>49</v>
      </c>
      <c r="E100" s="12"/>
      <c r="Q100" s="122" t="str">
        <f>IF(C100="","",VLOOKUP(C100,snomed2,3,FALSE))</f>
        <v/>
      </c>
      <c r="R100" s="151" t="str">
        <f>IF(D100="","",VLOOKUP(D100,snomed2,3,FALSE))</f>
        <v/>
      </c>
      <c r="S100" s="122" t="str">
        <f>IF(E100="","",VLOOKUP(E100,snomed2,3,FALSE))</f>
        <v/>
      </c>
      <c r="T100" s="27" t="str">
        <f>IF(Q100="","",VLOOKUP(Q100,snomed,3,FALSE))</f>
        <v/>
      </c>
      <c r="U100" s="122" t="str">
        <f>IF(R100="","",VLOOKUP(R100,snomed,3,FALSE))</f>
        <v/>
      </c>
      <c r="V100" s="122" t="str">
        <f>IF(S100="","",VLOOKUP(S100,snomed,3,FALSE))</f>
        <v/>
      </c>
    </row>
    <row r="101" spans="1:22">
      <c r="A101" s="11" t="s">
        <v>345</v>
      </c>
      <c r="B101" t="s">
        <v>49</v>
      </c>
      <c r="E101" s="12"/>
      <c r="Q101" s="122" t="str">
        <f>IF(C101="","",VLOOKUP(C101,snomed2,3,FALSE))</f>
        <v/>
      </c>
      <c r="R101" s="151" t="str">
        <f>IF(D101="","",VLOOKUP(D101,snomed2,3,FALSE))</f>
        <v/>
      </c>
      <c r="S101" s="122" t="str">
        <f>IF(E101="","",VLOOKUP(E101,snomed2,3,FALSE))</f>
        <v/>
      </c>
      <c r="T101" s="27" t="str">
        <f>IF(Q101="","",VLOOKUP(Q101,snomed,3,FALSE))</f>
        <v/>
      </c>
      <c r="U101" s="122" t="str">
        <f>IF(R101="","",VLOOKUP(R101,snomed,3,FALSE))</f>
        <v/>
      </c>
      <c r="V101" s="122" t="str">
        <f>IF(S101="","",VLOOKUP(S101,snomed,3,FALSE))</f>
        <v/>
      </c>
    </row>
    <row r="102" spans="1:22">
      <c r="A102" s="67" t="s">
        <v>346</v>
      </c>
      <c r="B102" t="s">
        <v>49</v>
      </c>
      <c r="E102" s="12"/>
      <c r="Q102" s="122" t="str">
        <f>IF(C102="","",VLOOKUP(C102,snomed2,3,FALSE))</f>
        <v/>
      </c>
      <c r="R102" s="151" t="str">
        <f>IF(D102="","",VLOOKUP(D102,snomed2,3,FALSE))</f>
        <v/>
      </c>
      <c r="S102" s="122" t="str">
        <f>IF(E102="","",VLOOKUP(E102,snomed2,3,FALSE))</f>
        <v/>
      </c>
      <c r="T102" s="27" t="str">
        <f>IF(Q102="","",VLOOKUP(Q102,snomed,3,FALSE))</f>
        <v/>
      </c>
      <c r="U102" s="122" t="str">
        <f>IF(R102="","",VLOOKUP(R102,snomed,3,FALSE))</f>
        <v/>
      </c>
      <c r="V102" s="122" t="str">
        <f>IF(S102="","",VLOOKUP(S102,snomed,3,FALSE))</f>
        <v/>
      </c>
    </row>
    <row r="103" spans="1:22">
      <c r="A103" s="67" t="s">
        <v>347</v>
      </c>
      <c r="B103" t="s">
        <v>49</v>
      </c>
      <c r="E103" s="12"/>
      <c r="Q103" s="122" t="str">
        <f>IF(C103="","",VLOOKUP(C103,snomed2,3,FALSE))</f>
        <v/>
      </c>
      <c r="R103" s="151" t="str">
        <f>IF(D103="","",VLOOKUP(D103,snomed2,3,FALSE))</f>
        <v/>
      </c>
      <c r="S103" s="122" t="str">
        <f>IF(E103="","",VLOOKUP(E103,snomed2,3,FALSE))</f>
        <v/>
      </c>
      <c r="T103" s="27" t="str">
        <f>IF(Q103="","",VLOOKUP(Q103,snomed,3,FALSE))</f>
        <v/>
      </c>
      <c r="U103" s="122" t="str">
        <f>IF(R103="","",VLOOKUP(R103,snomed,3,FALSE))</f>
        <v/>
      </c>
      <c r="V103" s="122" t="str">
        <f>IF(S103="","",VLOOKUP(S103,snomed,3,FALSE))</f>
        <v/>
      </c>
    </row>
    <row r="104" spans="1:22">
      <c r="A104" s="67" t="s">
        <v>348</v>
      </c>
      <c r="B104" t="s">
        <v>43</v>
      </c>
      <c r="E104" s="12"/>
      <c r="Q104" s="121"/>
      <c r="R104" s="152"/>
      <c r="S104" s="121"/>
      <c r="T104" s="2"/>
      <c r="U104" s="121"/>
      <c r="V104" s="121"/>
    </row>
    <row r="105" spans="1:22">
      <c r="A105" s="67" t="s">
        <v>349</v>
      </c>
      <c r="B105" t="s">
        <v>43</v>
      </c>
      <c r="C105" s="96" t="str">
        <f>IF(LEFT($E75,2)&lt;25,"",IF(C104="","",(C104/VLOOKUP($E75,marsal,3,FALSE))-1))</f>
        <v/>
      </c>
      <c r="D105" s="96" t="str">
        <f>IF(LEFT($E75,2)&lt;25,"",IF(D104="","",(D104/VLOOKUP($E75,marsal,3,FALSE))-1))</f>
        <v/>
      </c>
      <c r="E105" s="140" t="str">
        <f>IF(LEFT($E75,2)&lt;25,"",IF(E104="","",(E104/VLOOKUP($E75,marsal,3,FALSE))-1))</f>
        <v/>
      </c>
      <c r="Q105" s="121"/>
      <c r="R105" s="152"/>
      <c r="S105" s="121"/>
      <c r="T105" s="2"/>
      <c r="U105" s="121"/>
      <c r="V105" s="121"/>
    </row>
    <row r="106" spans="1:22">
      <c r="A106" s="67" t="s">
        <v>350</v>
      </c>
      <c r="B106" t="s">
        <v>49</v>
      </c>
      <c r="E106" s="12"/>
      <c r="Q106" s="122" t="str">
        <f>IF(C106="","",VLOOKUP(C106,fostervand_snom,2,FALSE))</f>
        <v/>
      </c>
      <c r="R106" s="122" t="str">
        <f>IF(D106="","",VLOOKUP(D106,fostervand_snom,2,FALSE))</f>
        <v/>
      </c>
      <c r="S106" s="122" t="str">
        <f>IF(E106="","",VLOOKUP(E106,fostervand_snom,2,FALSE))</f>
        <v/>
      </c>
      <c r="T106" s="27" t="str">
        <f>IF(Q106="","",VLOOKUP(Q106,snomed,3,FALSE))</f>
        <v/>
      </c>
      <c r="U106" s="122" t="str">
        <f>IF(R106="","",VLOOKUP(R106,snomed,3,FALSE))</f>
        <v/>
      </c>
      <c r="V106" s="122" t="str">
        <f>IF(S106="","",VLOOKUP(S106,snomed,3,FALSE))</f>
        <v/>
      </c>
    </row>
    <row r="107" spans="1:22">
      <c r="A107" s="68" t="s">
        <v>352</v>
      </c>
      <c r="B107" s="15" t="s">
        <v>40</v>
      </c>
      <c r="C107" s="15"/>
      <c r="D107" s="15"/>
      <c r="E107" s="16"/>
      <c r="Q107" s="123"/>
      <c r="R107" s="153"/>
      <c r="S107" s="123"/>
      <c r="T107" s="156"/>
      <c r="U107" s="123"/>
      <c r="V107" s="123"/>
    </row>
    <row r="108" spans="1:22">
      <c r="Q108" s="2"/>
    </row>
    <row r="109" spans="1:22">
      <c r="A109" s="9" t="s">
        <v>355</v>
      </c>
      <c r="B109" s="10"/>
      <c r="C109" s="34" t="s">
        <v>27</v>
      </c>
      <c r="D109" s="39" t="s">
        <v>186</v>
      </c>
      <c r="E109" s="32" t="s">
        <v>29</v>
      </c>
    </row>
    <row r="110" spans="1:22">
      <c r="A110" s="11" t="s">
        <v>312</v>
      </c>
      <c r="B110" s="24" t="str">
        <f>IF(C110="","",VLOOKUP(C110,AftalerDatoer!$C$3:$G$26,4,FALSE))</f>
        <v/>
      </c>
      <c r="C110" s="20"/>
      <c r="D110" s="19" t="str">
        <f>IF(C110="","",VLOOKUP(C110,AftalerDatoer!$C$3:$E$26,2,FALSE))</f>
        <v/>
      </c>
      <c r="E110" s="12" t="str" cm="1">
        <f t="array" ref="E110">_xlfn.IFS(C110="","",VLOOKUP(C110,AftalerDatoer!$C$3:$H$26,4,FALSE)="SM",VLOOKUP(C110,AftalerDatoer!$C$3:$H$26,3,FALSE),VLOOKUP(C110,AftalerDatoer!$C$3:$H$26,4,FALSE)="UL",VLOOKUP(C110,AftalerDatoer!$C$3:$H$26,5,FALSE))</f>
        <v/>
      </c>
    </row>
    <row r="111" spans="1:22">
      <c r="A111" s="11" t="s">
        <v>72</v>
      </c>
      <c r="B111" t="s">
        <v>40</v>
      </c>
      <c r="E111" s="12"/>
    </row>
    <row r="112" spans="1:22">
      <c r="A112" s="11" t="s">
        <v>313</v>
      </c>
      <c r="B112" t="s">
        <v>70</v>
      </c>
      <c r="E112" s="12"/>
    </row>
    <row r="113" spans="1:19">
      <c r="A113" s="11" t="s">
        <v>314</v>
      </c>
      <c r="B113" t="s">
        <v>70</v>
      </c>
      <c r="E113" s="12"/>
    </row>
    <row r="114" spans="1:19">
      <c r="A114" s="11" t="s">
        <v>315</v>
      </c>
      <c r="B114" t="s">
        <v>316</v>
      </c>
      <c r="E114" s="12"/>
    </row>
    <row r="115" spans="1:19">
      <c r="A115" s="11" t="s">
        <v>44</v>
      </c>
      <c r="B115" t="s">
        <v>317</v>
      </c>
      <c r="E115" s="12"/>
    </row>
    <row r="116" spans="1:19">
      <c r="A116" s="11" t="s">
        <v>45</v>
      </c>
      <c r="B116" t="s">
        <v>318</v>
      </c>
      <c r="C116" s="13" t="str">
        <f t="shared" ref="C116" si="1">IF(C115="","",C114/((C115/100)^2))</f>
        <v/>
      </c>
      <c r="E116" s="40" t="s">
        <v>319</v>
      </c>
    </row>
    <row r="117" spans="1:19">
      <c r="A117" s="11" t="s">
        <v>320</v>
      </c>
      <c r="B117" t="s">
        <v>40</v>
      </c>
      <c r="E117" s="166"/>
    </row>
    <row r="118" spans="1:19">
      <c r="A118" s="11" t="s">
        <v>321</v>
      </c>
      <c r="B118" t="s">
        <v>40</v>
      </c>
      <c r="E118" s="166"/>
    </row>
    <row r="119" spans="1:19">
      <c r="A119" s="11" t="s">
        <v>322</v>
      </c>
      <c r="B119" t="s">
        <v>70</v>
      </c>
      <c r="E119" s="166"/>
    </row>
    <row r="120" spans="1:19">
      <c r="A120" s="67" t="s">
        <v>323</v>
      </c>
      <c r="B120" t="s">
        <v>40</v>
      </c>
      <c r="E120" s="166"/>
    </row>
    <row r="121" spans="1:19">
      <c r="A121" s="67" t="s">
        <v>324</v>
      </c>
      <c r="B121" t="s">
        <v>325</v>
      </c>
      <c r="E121" s="166"/>
    </row>
    <row r="122" spans="1:19">
      <c r="A122" s="67" t="s">
        <v>326</v>
      </c>
      <c r="B122" t="s">
        <v>327</v>
      </c>
      <c r="E122" s="166"/>
    </row>
    <row r="123" spans="1:19">
      <c r="A123" s="14" t="s">
        <v>328</v>
      </c>
      <c r="E123" s="12"/>
    </row>
    <row r="124" spans="1:19">
      <c r="A124" s="11" t="s">
        <v>329</v>
      </c>
      <c r="B124" t="s">
        <v>40</v>
      </c>
      <c r="E124" s="12"/>
      <c r="R124" s="84"/>
      <c r="S124" s="84"/>
    </row>
    <row r="125" spans="1:19">
      <c r="A125" s="11" t="s">
        <v>330</v>
      </c>
      <c r="B125" t="s">
        <v>40</v>
      </c>
      <c r="E125" s="12"/>
    </row>
    <row r="126" spans="1:19">
      <c r="A126" s="11" t="s">
        <v>331</v>
      </c>
      <c r="B126" t="s">
        <v>40</v>
      </c>
      <c r="E126" s="12"/>
    </row>
    <row r="127" spans="1:19">
      <c r="A127" s="11" t="s">
        <v>332</v>
      </c>
      <c r="B127" t="s">
        <v>40</v>
      </c>
      <c r="E127" s="12"/>
    </row>
    <row r="128" spans="1:19">
      <c r="A128" s="11" t="s">
        <v>333</v>
      </c>
      <c r="B128" t="s">
        <v>40</v>
      </c>
      <c r="E128" s="12"/>
      <c r="Q128" s="2"/>
    </row>
    <row r="129" spans="1:22">
      <c r="A129" s="11" t="s">
        <v>334</v>
      </c>
      <c r="B129" t="s">
        <v>49</v>
      </c>
      <c r="E129" s="12"/>
      <c r="Q129" s="124" t="str">
        <f>IF(C129="","",VLOOKUP(C129,snomed2,3,FALSE))</f>
        <v/>
      </c>
      <c r="T129" s="124" t="str">
        <f>IF(Q129="","",VLOOKUP(Q129,snomed,3,FALSE))</f>
        <v/>
      </c>
    </row>
    <row r="130" spans="1:22">
      <c r="A130" s="14" t="s">
        <v>335</v>
      </c>
      <c r="E130" s="12"/>
      <c r="Q130" s="121"/>
      <c r="T130" s="121"/>
    </row>
    <row r="131" spans="1:22">
      <c r="A131" s="11" t="s">
        <v>336</v>
      </c>
      <c r="B131" t="s">
        <v>337</v>
      </c>
      <c r="E131" s="12"/>
      <c r="P131" s="149"/>
      <c r="Q131" s="121"/>
      <c r="T131" s="121"/>
    </row>
    <row r="132" spans="1:22">
      <c r="A132" s="11" t="s">
        <v>338</v>
      </c>
      <c r="C132" s="1" t="s">
        <v>339</v>
      </c>
      <c r="D132" s="1" t="s">
        <v>340</v>
      </c>
      <c r="E132" s="40" t="s">
        <v>341</v>
      </c>
      <c r="P132" s="1"/>
      <c r="Q132" s="121"/>
      <c r="T132" s="121"/>
    </row>
    <row r="133" spans="1:22">
      <c r="A133" s="11" t="s">
        <v>342</v>
      </c>
      <c r="B133" t="s">
        <v>40</v>
      </c>
      <c r="E133" s="12"/>
      <c r="Q133" s="121"/>
      <c r="T133" s="121"/>
    </row>
    <row r="134" spans="1:22">
      <c r="A134" s="11" t="s">
        <v>343</v>
      </c>
      <c r="B134" t="s">
        <v>49</v>
      </c>
      <c r="E134" s="12"/>
      <c r="Q134" s="122" t="str">
        <f>IF(C134="","",VLOOKUP(C134,snomed2,3,FALSE))</f>
        <v/>
      </c>
      <c r="R134" s="150" t="str">
        <f>IF(D134="","",VLOOKUP(D134,snomed2,3,FALSE))</f>
        <v/>
      </c>
      <c r="S134" s="124" t="str">
        <f>IF(E134="","",VLOOKUP(E134,snomed2,3,FALSE))</f>
        <v/>
      </c>
      <c r="T134" s="27" t="str">
        <f>IF(Q134="","",VLOOKUP(Q134,snomed,3,FALSE))</f>
        <v/>
      </c>
      <c r="U134" s="124" t="str">
        <f>IF(R134="","",VLOOKUP(R134,snomed,3,FALSE))</f>
        <v/>
      </c>
      <c r="V134" s="124" t="str">
        <f>IF(S134="","",VLOOKUP(S134,snomed,3,FALSE))</f>
        <v/>
      </c>
    </row>
    <row r="135" spans="1:22">
      <c r="A135" s="11" t="s">
        <v>344</v>
      </c>
      <c r="B135" t="s">
        <v>49</v>
      </c>
      <c r="E135" s="12"/>
      <c r="Q135" s="122" t="str">
        <f>IF(C135="","",VLOOKUP(C135,snomed2,3,FALSE))</f>
        <v/>
      </c>
      <c r="R135" s="151" t="str">
        <f>IF(D135="","",VLOOKUP(D135,snomed2,3,FALSE))</f>
        <v/>
      </c>
      <c r="S135" s="122" t="str">
        <f>IF(E135="","",VLOOKUP(E135,snomed2,3,FALSE))</f>
        <v/>
      </c>
      <c r="T135" s="27" t="str">
        <f>IF(Q135="","",VLOOKUP(Q135,snomed,3,FALSE))</f>
        <v/>
      </c>
      <c r="U135" s="122" t="str">
        <f>IF(R135="","",VLOOKUP(R135,snomed,3,FALSE))</f>
        <v/>
      </c>
      <c r="V135" s="122" t="str">
        <f>IF(S135="","",VLOOKUP(S135,snomed,3,FALSE))</f>
        <v/>
      </c>
    </row>
    <row r="136" spans="1:22">
      <c r="A136" s="11" t="s">
        <v>345</v>
      </c>
      <c r="B136" t="s">
        <v>49</v>
      </c>
      <c r="E136" s="12"/>
      <c r="Q136" s="122" t="str">
        <f>IF(C136="","",VLOOKUP(C136,snomed2,3,FALSE))</f>
        <v/>
      </c>
      <c r="R136" s="151" t="str">
        <f>IF(D136="","",VLOOKUP(D136,snomed2,3,FALSE))</f>
        <v/>
      </c>
      <c r="S136" s="122" t="str">
        <f>IF(E136="","",VLOOKUP(E136,snomed2,3,FALSE))</f>
        <v/>
      </c>
      <c r="T136" s="27" t="str">
        <f>IF(Q136="","",VLOOKUP(Q136,snomed,3,FALSE))</f>
        <v/>
      </c>
      <c r="U136" s="122" t="str">
        <f>IF(R136="","",VLOOKUP(R136,snomed,3,FALSE))</f>
        <v/>
      </c>
      <c r="V136" s="122" t="str">
        <f>IF(S136="","",VLOOKUP(S136,snomed,3,FALSE))</f>
        <v/>
      </c>
    </row>
    <row r="137" spans="1:22">
      <c r="A137" s="67" t="s">
        <v>346</v>
      </c>
      <c r="B137" t="s">
        <v>49</v>
      </c>
      <c r="E137" s="12"/>
      <c r="Q137" s="122" t="str">
        <f>IF(C137="","",VLOOKUP(C137,snomed2,3,FALSE))</f>
        <v/>
      </c>
      <c r="R137" s="151" t="str">
        <f>IF(D137="","",VLOOKUP(D137,snomed2,3,FALSE))</f>
        <v/>
      </c>
      <c r="S137" s="122" t="str">
        <f>IF(E137="","",VLOOKUP(E137,snomed2,3,FALSE))</f>
        <v/>
      </c>
      <c r="T137" s="27" t="str">
        <f>IF(Q137="","",VLOOKUP(Q137,snomed,3,FALSE))</f>
        <v/>
      </c>
      <c r="U137" s="122" t="str">
        <f>IF(R137="","",VLOOKUP(R137,snomed,3,FALSE))</f>
        <v/>
      </c>
      <c r="V137" s="122" t="str">
        <f>IF(S137="","",VLOOKUP(S137,snomed,3,FALSE))</f>
        <v/>
      </c>
    </row>
    <row r="138" spans="1:22">
      <c r="A138" s="67" t="s">
        <v>347</v>
      </c>
      <c r="B138" t="s">
        <v>49</v>
      </c>
      <c r="E138" s="12"/>
      <c r="Q138" s="122" t="str">
        <f>IF(C138="","",VLOOKUP(C138,snomed2,3,FALSE))</f>
        <v/>
      </c>
      <c r="R138" s="151" t="str">
        <f>IF(D138="","",VLOOKUP(D138,snomed2,3,FALSE))</f>
        <v/>
      </c>
      <c r="S138" s="122" t="str">
        <f>IF(E138="","",VLOOKUP(E138,snomed2,3,FALSE))</f>
        <v/>
      </c>
      <c r="T138" s="27" t="str">
        <f>IF(Q138="","",VLOOKUP(Q138,snomed,3,FALSE))</f>
        <v/>
      </c>
      <c r="U138" s="122" t="str">
        <f>IF(R138="","",VLOOKUP(R138,snomed,3,FALSE))</f>
        <v/>
      </c>
      <c r="V138" s="122" t="str">
        <f>IF(S138="","",VLOOKUP(S138,snomed,3,FALSE))</f>
        <v/>
      </c>
    </row>
    <row r="139" spans="1:22">
      <c r="A139" s="67" t="s">
        <v>348</v>
      </c>
      <c r="B139" t="s">
        <v>43</v>
      </c>
      <c r="E139" s="12"/>
      <c r="Q139" s="121"/>
      <c r="R139" s="152"/>
      <c r="S139" s="121"/>
      <c r="T139" s="2"/>
      <c r="U139" s="121"/>
      <c r="V139" s="121"/>
    </row>
    <row r="140" spans="1:22">
      <c r="A140" s="67" t="s">
        <v>349</v>
      </c>
      <c r="B140" t="s">
        <v>43</v>
      </c>
      <c r="C140" s="96" t="str">
        <f>IF(LEFT($E110,2)&lt;25,"",IF(C139="","",(C139/VLOOKUP($E110,marsal,3,FALSE))-1))</f>
        <v/>
      </c>
      <c r="D140" s="96" t="str">
        <f>IF(LEFT($E110,2)&lt;25,"",IF(D139="","",(D139/VLOOKUP($E110,marsal,3,FALSE))-1))</f>
        <v/>
      </c>
      <c r="E140" s="140" t="str">
        <f>IF(LEFT($E110,2)&lt;25,"",IF(E139="","",(E139/VLOOKUP($E110,marsal,3,FALSE))-1))</f>
        <v/>
      </c>
      <c r="Q140" s="121"/>
      <c r="R140" s="152"/>
      <c r="S140" s="121"/>
      <c r="T140" s="2"/>
      <c r="U140" s="121"/>
      <c r="V140" s="121"/>
    </row>
    <row r="141" spans="1:22">
      <c r="A141" s="67" t="s">
        <v>350</v>
      </c>
      <c r="B141" t="s">
        <v>49</v>
      </c>
      <c r="E141" s="12"/>
      <c r="Q141" s="122" t="str">
        <f>IF(C141="","",VLOOKUP(C141,fostervand_snom,2,FALSE))</f>
        <v/>
      </c>
      <c r="R141" s="122" t="str">
        <f>IF(D141="","",VLOOKUP(D141,fostervand_snom,2,FALSE))</f>
        <v/>
      </c>
      <c r="S141" s="122" t="str">
        <f>IF(E141="","",VLOOKUP(E141,fostervand_snom,2,FALSE))</f>
        <v/>
      </c>
      <c r="T141" s="27" t="str">
        <f>IF(Q141="","",VLOOKUP(Q141,snomed,3,FALSE))</f>
        <v/>
      </c>
      <c r="U141" s="122" t="str">
        <f>IF(R141="","",VLOOKUP(R141,snomed,3,FALSE))</f>
        <v/>
      </c>
      <c r="V141" s="122" t="str">
        <f>IF(S141="","",VLOOKUP(S141,snomed,3,FALSE))</f>
        <v/>
      </c>
    </row>
    <row r="142" spans="1:22">
      <c r="A142" s="68" t="s">
        <v>352</v>
      </c>
      <c r="B142" s="15" t="s">
        <v>40</v>
      </c>
      <c r="C142" s="15"/>
      <c r="D142" s="15"/>
      <c r="E142" s="16"/>
      <c r="Q142" s="123"/>
      <c r="R142" s="153"/>
      <c r="S142" s="123"/>
      <c r="T142" s="156"/>
      <c r="U142" s="123"/>
      <c r="V142" s="123"/>
    </row>
    <row r="143" spans="1:22">
      <c r="Q143" s="2"/>
    </row>
    <row r="144" spans="1:22">
      <c r="A144" s="9" t="s">
        <v>356</v>
      </c>
      <c r="B144" s="10"/>
      <c r="C144" s="34" t="s">
        <v>27</v>
      </c>
      <c r="D144" s="39" t="s">
        <v>186</v>
      </c>
      <c r="E144" s="32" t="s">
        <v>29</v>
      </c>
    </row>
    <row r="145" spans="1:19">
      <c r="A145" s="11" t="s">
        <v>312</v>
      </c>
      <c r="B145" s="24" t="str">
        <f>IF(C145="","",VLOOKUP(C145,AftalerDatoer!$C$3:$G$26,4,FALSE))</f>
        <v/>
      </c>
      <c r="C145" s="20"/>
      <c r="D145" s="19" t="str">
        <f>IF(C145="","",VLOOKUP(C145,AftalerDatoer!$C$3:$E$26,2,FALSE))</f>
        <v/>
      </c>
      <c r="E145" s="12" t="str" cm="1">
        <f t="array" ref="E145">_xlfn.IFS(C145="","",VLOOKUP(C145,AftalerDatoer!$C$3:$H$26,4,FALSE)="SM",VLOOKUP(C145,AftalerDatoer!$C$3:$H$26,3,FALSE),VLOOKUP(C145,AftalerDatoer!$C$3:$H$26,4,FALSE)="UL",VLOOKUP(C145,AftalerDatoer!$C$3:$H$26,5,FALSE))</f>
        <v/>
      </c>
    </row>
    <row r="146" spans="1:19">
      <c r="A146" s="11" t="s">
        <v>72</v>
      </c>
      <c r="B146" t="s">
        <v>40</v>
      </c>
      <c r="E146" s="12"/>
    </row>
    <row r="147" spans="1:19">
      <c r="A147" s="11" t="s">
        <v>313</v>
      </c>
      <c r="B147" t="s">
        <v>70</v>
      </c>
      <c r="E147" s="12"/>
    </row>
    <row r="148" spans="1:19">
      <c r="A148" s="11" t="s">
        <v>314</v>
      </c>
      <c r="B148" t="s">
        <v>70</v>
      </c>
      <c r="E148" s="12"/>
    </row>
    <row r="149" spans="1:19">
      <c r="A149" s="11" t="s">
        <v>315</v>
      </c>
      <c r="B149" t="s">
        <v>316</v>
      </c>
      <c r="E149" s="12"/>
    </row>
    <row r="150" spans="1:19">
      <c r="A150" s="11" t="s">
        <v>44</v>
      </c>
      <c r="B150" t="s">
        <v>317</v>
      </c>
      <c r="E150" s="12"/>
    </row>
    <row r="151" spans="1:19">
      <c r="A151" s="11" t="s">
        <v>45</v>
      </c>
      <c r="B151" t="s">
        <v>318</v>
      </c>
      <c r="C151" s="13" t="str">
        <f t="shared" ref="C151:C186" si="2">IF(C150="","",C149/((C150/100)^2))</f>
        <v/>
      </c>
      <c r="E151" s="40" t="s">
        <v>319</v>
      </c>
    </row>
    <row r="152" spans="1:19">
      <c r="A152" s="11" t="s">
        <v>320</v>
      </c>
      <c r="B152" t="s">
        <v>40</v>
      </c>
      <c r="E152" s="166"/>
    </row>
    <row r="153" spans="1:19">
      <c r="A153" s="11" t="s">
        <v>321</v>
      </c>
      <c r="B153" t="s">
        <v>40</v>
      </c>
      <c r="E153" s="166"/>
    </row>
    <row r="154" spans="1:19">
      <c r="A154" s="11" t="s">
        <v>322</v>
      </c>
      <c r="B154" t="s">
        <v>70</v>
      </c>
      <c r="E154" s="166"/>
    </row>
    <row r="155" spans="1:19">
      <c r="A155" s="67" t="s">
        <v>323</v>
      </c>
      <c r="B155" t="s">
        <v>40</v>
      </c>
      <c r="E155" s="166"/>
    </row>
    <row r="156" spans="1:19">
      <c r="A156" s="67" t="s">
        <v>324</v>
      </c>
      <c r="B156" t="s">
        <v>325</v>
      </c>
      <c r="E156" s="166"/>
    </row>
    <row r="157" spans="1:19">
      <c r="A157" s="67" t="s">
        <v>326</v>
      </c>
      <c r="B157" t="s">
        <v>327</v>
      </c>
      <c r="E157" s="166"/>
    </row>
    <row r="158" spans="1:19">
      <c r="A158" s="14" t="s">
        <v>328</v>
      </c>
      <c r="E158" s="12"/>
    </row>
    <row r="159" spans="1:19">
      <c r="A159" s="11" t="s">
        <v>329</v>
      </c>
      <c r="B159" t="s">
        <v>40</v>
      </c>
      <c r="E159" s="12"/>
      <c r="R159" s="84"/>
      <c r="S159" s="84"/>
    </row>
    <row r="160" spans="1:19">
      <c r="A160" s="11" t="s">
        <v>330</v>
      </c>
      <c r="B160" t="s">
        <v>40</v>
      </c>
      <c r="E160" s="12"/>
    </row>
    <row r="161" spans="1:22">
      <c r="A161" s="11" t="s">
        <v>331</v>
      </c>
      <c r="B161" t="s">
        <v>40</v>
      </c>
      <c r="E161" s="12"/>
    </row>
    <row r="162" spans="1:22">
      <c r="A162" s="11" t="s">
        <v>332</v>
      </c>
      <c r="B162" t="s">
        <v>40</v>
      </c>
      <c r="E162" s="12"/>
    </row>
    <row r="163" spans="1:22">
      <c r="A163" s="11" t="s">
        <v>333</v>
      </c>
      <c r="B163" t="s">
        <v>40</v>
      </c>
      <c r="E163" s="12"/>
      <c r="Q163" s="2"/>
    </row>
    <row r="164" spans="1:22">
      <c r="A164" s="11" t="s">
        <v>334</v>
      </c>
      <c r="B164" t="s">
        <v>49</v>
      </c>
      <c r="E164" s="12"/>
      <c r="Q164" s="124" t="str">
        <f>IF(C164="","",VLOOKUP(C164,snomed2,3,FALSE))</f>
        <v/>
      </c>
      <c r="T164" s="124" t="str">
        <f>IF(Q164="","",VLOOKUP(Q164,snomed,3,FALSE))</f>
        <v/>
      </c>
    </row>
    <row r="165" spans="1:22">
      <c r="A165" s="14" t="s">
        <v>335</v>
      </c>
      <c r="E165" s="12"/>
      <c r="Q165" s="121"/>
      <c r="T165" s="121"/>
    </row>
    <row r="166" spans="1:22">
      <c r="A166" s="11" t="s">
        <v>336</v>
      </c>
      <c r="B166" t="s">
        <v>337</v>
      </c>
      <c r="E166" s="12"/>
      <c r="P166" s="149"/>
      <c r="Q166" s="121"/>
      <c r="T166" s="121"/>
    </row>
    <row r="167" spans="1:22">
      <c r="A167" s="11" t="s">
        <v>338</v>
      </c>
      <c r="C167" s="1" t="s">
        <v>339</v>
      </c>
      <c r="D167" s="1" t="s">
        <v>340</v>
      </c>
      <c r="E167" s="40" t="s">
        <v>341</v>
      </c>
      <c r="P167" s="1"/>
      <c r="Q167" s="121"/>
      <c r="T167" s="121"/>
    </row>
    <row r="168" spans="1:22">
      <c r="A168" s="11" t="s">
        <v>342</v>
      </c>
      <c r="B168" t="s">
        <v>40</v>
      </c>
      <c r="E168" s="12"/>
      <c r="Q168" s="121"/>
      <c r="T168" s="121"/>
    </row>
    <row r="169" spans="1:22">
      <c r="A169" s="11" t="s">
        <v>343</v>
      </c>
      <c r="B169" t="s">
        <v>49</v>
      </c>
      <c r="E169" s="12"/>
      <c r="Q169" s="122" t="str">
        <f>IF(C169="","",VLOOKUP(C169,snomed2,3,FALSE))</f>
        <v/>
      </c>
      <c r="R169" s="150" t="str">
        <f>IF(D169="","",VLOOKUP(D169,snomed2,3,FALSE))</f>
        <v/>
      </c>
      <c r="S169" s="124" t="str">
        <f>IF(E169="","",VLOOKUP(E169,snomed2,3,FALSE))</f>
        <v/>
      </c>
      <c r="T169" s="27" t="str">
        <f>IF(Q169="","",VLOOKUP(Q169,snomed,3,FALSE))</f>
        <v/>
      </c>
      <c r="U169" s="124" t="str">
        <f>IF(R169="","",VLOOKUP(R169,snomed,3,FALSE))</f>
        <v/>
      </c>
      <c r="V169" s="124" t="str">
        <f>IF(S169="","",VLOOKUP(S169,snomed,3,FALSE))</f>
        <v/>
      </c>
    </row>
    <row r="170" spans="1:22">
      <c r="A170" s="11" t="s">
        <v>344</v>
      </c>
      <c r="B170" t="s">
        <v>49</v>
      </c>
      <c r="E170" s="12"/>
      <c r="Q170" s="122" t="str">
        <f>IF(C170="","",VLOOKUP(C170,snomed2,3,FALSE))</f>
        <v/>
      </c>
      <c r="R170" s="151" t="str">
        <f>IF(D170="","",VLOOKUP(D170,snomed2,3,FALSE))</f>
        <v/>
      </c>
      <c r="S170" s="122" t="str">
        <f>IF(E170="","",VLOOKUP(E170,snomed2,3,FALSE))</f>
        <v/>
      </c>
      <c r="T170" s="27" t="str">
        <f>IF(Q170="","",VLOOKUP(Q170,snomed,3,FALSE))</f>
        <v/>
      </c>
      <c r="U170" s="122" t="str">
        <f>IF(R170="","",VLOOKUP(R170,snomed,3,FALSE))</f>
        <v/>
      </c>
      <c r="V170" s="122" t="str">
        <f>IF(S170="","",VLOOKUP(S170,snomed,3,FALSE))</f>
        <v/>
      </c>
    </row>
    <row r="171" spans="1:22">
      <c r="A171" s="11" t="s">
        <v>345</v>
      </c>
      <c r="B171" t="s">
        <v>49</v>
      </c>
      <c r="E171" s="12"/>
      <c r="Q171" s="122" t="str">
        <f>IF(C171="","",VLOOKUP(C171,snomed2,3,FALSE))</f>
        <v/>
      </c>
      <c r="R171" s="151" t="str">
        <f>IF(D171="","",VLOOKUP(D171,snomed2,3,FALSE))</f>
        <v/>
      </c>
      <c r="S171" s="122" t="str">
        <f>IF(E171="","",VLOOKUP(E171,snomed2,3,FALSE))</f>
        <v/>
      </c>
      <c r="T171" s="27" t="str">
        <f>IF(Q171="","",VLOOKUP(Q171,snomed,3,FALSE))</f>
        <v/>
      </c>
      <c r="U171" s="122" t="str">
        <f>IF(R171="","",VLOOKUP(R171,snomed,3,FALSE))</f>
        <v/>
      </c>
      <c r="V171" s="122" t="str">
        <f>IF(S171="","",VLOOKUP(S171,snomed,3,FALSE))</f>
        <v/>
      </c>
    </row>
    <row r="172" spans="1:22">
      <c r="A172" s="67" t="s">
        <v>346</v>
      </c>
      <c r="B172" t="s">
        <v>49</v>
      </c>
      <c r="E172" s="12"/>
      <c r="Q172" s="122" t="str">
        <f>IF(C172="","",VLOOKUP(C172,snomed2,3,FALSE))</f>
        <v/>
      </c>
      <c r="R172" s="151" t="str">
        <f>IF(D172="","",VLOOKUP(D172,snomed2,3,FALSE))</f>
        <v/>
      </c>
      <c r="S172" s="122" t="str">
        <f>IF(E172="","",VLOOKUP(E172,snomed2,3,FALSE))</f>
        <v/>
      </c>
      <c r="T172" s="27" t="str">
        <f>IF(Q172="","",VLOOKUP(Q172,snomed,3,FALSE))</f>
        <v/>
      </c>
      <c r="U172" s="122" t="str">
        <f>IF(R172="","",VLOOKUP(R172,snomed,3,FALSE))</f>
        <v/>
      </c>
      <c r="V172" s="122" t="str">
        <f>IF(S172="","",VLOOKUP(S172,snomed,3,FALSE))</f>
        <v/>
      </c>
    </row>
    <row r="173" spans="1:22">
      <c r="A173" s="67" t="s">
        <v>347</v>
      </c>
      <c r="B173" t="s">
        <v>49</v>
      </c>
      <c r="E173" s="12"/>
      <c r="Q173" s="122" t="str">
        <f>IF(C173="","",VLOOKUP(C173,snomed2,3,FALSE))</f>
        <v/>
      </c>
      <c r="R173" s="151" t="str">
        <f>IF(D173="","",VLOOKUP(D173,snomed2,3,FALSE))</f>
        <v/>
      </c>
      <c r="S173" s="122" t="str">
        <f>IF(E173="","",VLOOKUP(E173,snomed2,3,FALSE))</f>
        <v/>
      </c>
      <c r="T173" s="27" t="str">
        <f>IF(Q173="","",VLOOKUP(Q173,snomed,3,FALSE))</f>
        <v/>
      </c>
      <c r="U173" s="122" t="str">
        <f>IF(R173="","",VLOOKUP(R173,snomed,3,FALSE))</f>
        <v/>
      </c>
      <c r="V173" s="122" t="str">
        <f>IF(S173="","",VLOOKUP(S173,snomed,3,FALSE))</f>
        <v/>
      </c>
    </row>
    <row r="174" spans="1:22">
      <c r="A174" s="67" t="s">
        <v>348</v>
      </c>
      <c r="B174" t="s">
        <v>43</v>
      </c>
      <c r="E174" s="12"/>
      <c r="Q174" s="121"/>
      <c r="R174" s="152"/>
      <c r="S174" s="121"/>
      <c r="T174" s="2"/>
      <c r="U174" s="121"/>
      <c r="V174" s="121"/>
    </row>
    <row r="175" spans="1:22">
      <c r="A175" s="67" t="s">
        <v>349</v>
      </c>
      <c r="B175" t="s">
        <v>43</v>
      </c>
      <c r="C175" s="96" t="str">
        <f>IF(LEFT($E145,2)&lt;25,"",IF(C174="","",(C174/VLOOKUP($E145,marsal,3,FALSE))-1))</f>
        <v/>
      </c>
      <c r="D175" s="96" t="str">
        <f>IF(LEFT($E145,2)&lt;25,"",IF(D174="","",(D174/VLOOKUP($E145,marsal,3,FALSE))-1))</f>
        <v/>
      </c>
      <c r="E175" s="140" t="str">
        <f>IF(LEFT($E145,2)&lt;25,"",IF(E174="","",(E174/VLOOKUP($E145,marsal,3,FALSE))-1))</f>
        <v/>
      </c>
      <c r="Q175" s="121"/>
      <c r="R175" s="152"/>
      <c r="S175" s="121"/>
      <c r="T175" s="2"/>
      <c r="U175" s="121"/>
      <c r="V175" s="121"/>
    </row>
    <row r="176" spans="1:22">
      <c r="A176" s="67" t="s">
        <v>350</v>
      </c>
      <c r="B176" t="s">
        <v>49</v>
      </c>
      <c r="E176" s="12"/>
      <c r="Q176" s="122" t="str">
        <f>IF(C176="","",VLOOKUP(C176,fostervand_snom,2,FALSE))</f>
        <v/>
      </c>
      <c r="R176" s="122" t="str">
        <f>IF(D176="","",VLOOKUP(D176,fostervand_snom,2,FALSE))</f>
        <v/>
      </c>
      <c r="S176" s="122" t="str">
        <f>IF(E176="","",VLOOKUP(E176,fostervand_snom,2,FALSE))</f>
        <v/>
      </c>
      <c r="T176" s="27" t="str">
        <f>IF(Q176="","",VLOOKUP(Q176,snomed,3,FALSE))</f>
        <v/>
      </c>
      <c r="U176" s="122" t="str">
        <f>IF(R176="","",VLOOKUP(R176,snomed,3,FALSE))</f>
        <v/>
      </c>
      <c r="V176" s="122" t="str">
        <f>IF(S176="","",VLOOKUP(S176,snomed,3,FALSE))</f>
        <v/>
      </c>
    </row>
    <row r="177" spans="1:22">
      <c r="A177" s="68" t="s">
        <v>352</v>
      </c>
      <c r="B177" s="15" t="s">
        <v>40</v>
      </c>
      <c r="C177" s="15"/>
      <c r="D177" s="15"/>
      <c r="E177" s="16"/>
      <c r="Q177" s="123"/>
      <c r="R177" s="153"/>
      <c r="S177" s="123"/>
      <c r="T177" s="156"/>
      <c r="U177" s="123"/>
      <c r="V177" s="123"/>
    </row>
    <row r="178" spans="1:22">
      <c r="Q178" s="2"/>
    </row>
    <row r="179" spans="1:22">
      <c r="A179" s="9" t="s">
        <v>357</v>
      </c>
      <c r="B179" s="10"/>
      <c r="C179" s="34" t="s">
        <v>27</v>
      </c>
      <c r="D179" s="39" t="s">
        <v>186</v>
      </c>
      <c r="E179" s="32" t="s">
        <v>29</v>
      </c>
    </row>
    <row r="180" spans="1:22">
      <c r="A180" s="11" t="s">
        <v>312</v>
      </c>
      <c r="B180" s="24" t="str">
        <f>IF(C180="","",VLOOKUP(C180,AftalerDatoer!$C$3:$G$26,4,FALSE))</f>
        <v/>
      </c>
      <c r="C180" s="20"/>
      <c r="D180" s="19" t="str">
        <f>IF(C180="","",VLOOKUP(C180,AftalerDatoer!$C$3:$E$26,2,FALSE))</f>
        <v/>
      </c>
      <c r="E180" s="12" t="str" cm="1">
        <f t="array" ref="E180">_xlfn.IFS(C180="","",VLOOKUP(C180,AftalerDatoer!$C$3:$H$26,4,FALSE)="SM",VLOOKUP(C180,AftalerDatoer!$C$3:$H$26,3,FALSE),VLOOKUP(C180,AftalerDatoer!$C$3:$H$26,4,FALSE)="UL",VLOOKUP(C180,AftalerDatoer!$C$3:$H$26,5,FALSE))</f>
        <v/>
      </c>
    </row>
    <row r="181" spans="1:22">
      <c r="A181" s="11" t="s">
        <v>72</v>
      </c>
      <c r="B181" t="s">
        <v>40</v>
      </c>
      <c r="E181" s="12"/>
    </row>
    <row r="182" spans="1:22">
      <c r="A182" s="11" t="s">
        <v>313</v>
      </c>
      <c r="B182" t="s">
        <v>70</v>
      </c>
      <c r="E182" s="12"/>
    </row>
    <row r="183" spans="1:22">
      <c r="A183" s="11" t="s">
        <v>314</v>
      </c>
      <c r="B183" t="s">
        <v>70</v>
      </c>
      <c r="E183" s="12"/>
    </row>
    <row r="184" spans="1:22">
      <c r="A184" s="11" t="s">
        <v>315</v>
      </c>
      <c r="B184" t="s">
        <v>316</v>
      </c>
      <c r="E184" s="12"/>
    </row>
    <row r="185" spans="1:22">
      <c r="A185" s="11" t="s">
        <v>44</v>
      </c>
      <c r="B185" t="s">
        <v>317</v>
      </c>
      <c r="E185" s="12"/>
    </row>
    <row r="186" spans="1:22">
      <c r="A186" s="11" t="s">
        <v>45</v>
      </c>
      <c r="B186" t="s">
        <v>318</v>
      </c>
      <c r="C186" s="13" t="str">
        <f t="shared" si="2"/>
        <v/>
      </c>
      <c r="E186" s="40" t="s">
        <v>319</v>
      </c>
    </row>
    <row r="187" spans="1:22">
      <c r="A187" s="11" t="s">
        <v>320</v>
      </c>
      <c r="B187" t="s">
        <v>40</v>
      </c>
      <c r="E187" s="166"/>
    </row>
    <row r="188" spans="1:22">
      <c r="A188" s="11" t="s">
        <v>321</v>
      </c>
      <c r="B188" t="s">
        <v>40</v>
      </c>
      <c r="E188" s="166"/>
    </row>
    <row r="189" spans="1:22">
      <c r="A189" s="11" t="s">
        <v>322</v>
      </c>
      <c r="B189" t="s">
        <v>70</v>
      </c>
      <c r="E189" s="166"/>
    </row>
    <row r="190" spans="1:22">
      <c r="A190" s="67" t="s">
        <v>323</v>
      </c>
      <c r="B190" t="s">
        <v>40</v>
      </c>
      <c r="E190" s="166"/>
    </row>
    <row r="191" spans="1:22">
      <c r="A191" s="67" t="s">
        <v>324</v>
      </c>
      <c r="B191" t="s">
        <v>325</v>
      </c>
      <c r="E191" s="166"/>
    </row>
    <row r="192" spans="1:22">
      <c r="A192" s="67" t="s">
        <v>326</v>
      </c>
      <c r="B192" t="s">
        <v>327</v>
      </c>
      <c r="E192" s="166"/>
    </row>
    <row r="193" spans="1:22">
      <c r="A193" s="14" t="s">
        <v>328</v>
      </c>
      <c r="E193" s="12"/>
    </row>
    <row r="194" spans="1:22">
      <c r="A194" s="11" t="s">
        <v>329</v>
      </c>
      <c r="B194" t="s">
        <v>40</v>
      </c>
      <c r="E194" s="12"/>
      <c r="R194" s="84"/>
      <c r="S194" s="84"/>
    </row>
    <row r="195" spans="1:22">
      <c r="A195" s="11" t="s">
        <v>330</v>
      </c>
      <c r="B195" t="s">
        <v>40</v>
      </c>
      <c r="E195" s="12"/>
    </row>
    <row r="196" spans="1:22">
      <c r="A196" s="11" t="s">
        <v>331</v>
      </c>
      <c r="B196" t="s">
        <v>40</v>
      </c>
      <c r="E196" s="12"/>
    </row>
    <row r="197" spans="1:22">
      <c r="A197" s="11" t="s">
        <v>332</v>
      </c>
      <c r="B197" t="s">
        <v>40</v>
      </c>
      <c r="E197" s="12"/>
    </row>
    <row r="198" spans="1:22">
      <c r="A198" s="11" t="s">
        <v>333</v>
      </c>
      <c r="B198" t="s">
        <v>40</v>
      </c>
      <c r="E198" s="12"/>
      <c r="Q198" s="2"/>
    </row>
    <row r="199" spans="1:22">
      <c r="A199" s="11" t="s">
        <v>334</v>
      </c>
      <c r="B199" t="s">
        <v>49</v>
      </c>
      <c r="E199" s="12"/>
      <c r="Q199" s="124" t="str">
        <f>IF(C199="","",VLOOKUP(C199,snomed2,3,FALSE))</f>
        <v/>
      </c>
      <c r="T199" s="124" t="str">
        <f>IF(Q199="","",VLOOKUP(Q199,snomed,3,FALSE))</f>
        <v/>
      </c>
    </row>
    <row r="200" spans="1:22">
      <c r="A200" s="14" t="s">
        <v>335</v>
      </c>
      <c r="E200" s="12"/>
      <c r="Q200" s="121"/>
      <c r="T200" s="121"/>
    </row>
    <row r="201" spans="1:22">
      <c r="A201" s="11" t="s">
        <v>336</v>
      </c>
      <c r="B201" t="s">
        <v>337</v>
      </c>
      <c r="E201" s="12"/>
      <c r="P201" s="149"/>
      <c r="Q201" s="121"/>
      <c r="T201" s="121"/>
    </row>
    <row r="202" spans="1:22">
      <c r="A202" s="11" t="s">
        <v>338</v>
      </c>
      <c r="C202" s="1" t="s">
        <v>339</v>
      </c>
      <c r="D202" s="1" t="s">
        <v>340</v>
      </c>
      <c r="E202" s="40" t="s">
        <v>341</v>
      </c>
      <c r="P202" s="1"/>
      <c r="Q202" s="121"/>
      <c r="T202" s="121"/>
    </row>
    <row r="203" spans="1:22">
      <c r="A203" s="11" t="s">
        <v>342</v>
      </c>
      <c r="B203" t="s">
        <v>40</v>
      </c>
      <c r="E203" s="12"/>
      <c r="Q203" s="121"/>
      <c r="T203" s="121"/>
    </row>
    <row r="204" spans="1:22">
      <c r="A204" s="11" t="s">
        <v>343</v>
      </c>
      <c r="B204" t="s">
        <v>49</v>
      </c>
      <c r="E204" s="12"/>
      <c r="Q204" s="122" t="str">
        <f>IF(C204="","",VLOOKUP(C204,snomed2,3,FALSE))</f>
        <v/>
      </c>
      <c r="R204" s="150" t="str">
        <f>IF(D204="","",VLOOKUP(D204,snomed2,3,FALSE))</f>
        <v/>
      </c>
      <c r="S204" s="124" t="str">
        <f>IF(E204="","",VLOOKUP(E204,snomed2,3,FALSE))</f>
        <v/>
      </c>
      <c r="T204" s="27" t="str">
        <f>IF(Q204="","",VLOOKUP(Q204,snomed,3,FALSE))</f>
        <v/>
      </c>
      <c r="U204" s="124" t="str">
        <f>IF(R204="","",VLOOKUP(R204,snomed,3,FALSE))</f>
        <v/>
      </c>
      <c r="V204" s="124" t="str">
        <f>IF(S204="","",VLOOKUP(S204,snomed,3,FALSE))</f>
        <v/>
      </c>
    </row>
    <row r="205" spans="1:22">
      <c r="A205" s="11" t="s">
        <v>344</v>
      </c>
      <c r="B205" t="s">
        <v>49</v>
      </c>
      <c r="E205" s="12"/>
      <c r="Q205" s="122" t="str">
        <f>IF(C205="","",VLOOKUP(C205,snomed2,3,FALSE))</f>
        <v/>
      </c>
      <c r="R205" s="151" t="str">
        <f>IF(D205="","",VLOOKUP(D205,snomed2,3,FALSE))</f>
        <v/>
      </c>
      <c r="S205" s="122" t="str">
        <f>IF(E205="","",VLOOKUP(E205,snomed2,3,FALSE))</f>
        <v/>
      </c>
      <c r="T205" s="27" t="str">
        <f>IF(Q205="","",VLOOKUP(Q205,snomed,3,FALSE))</f>
        <v/>
      </c>
      <c r="U205" s="122" t="str">
        <f>IF(R205="","",VLOOKUP(R205,snomed,3,FALSE))</f>
        <v/>
      </c>
      <c r="V205" s="122" t="str">
        <f>IF(S205="","",VLOOKUP(S205,snomed,3,FALSE))</f>
        <v/>
      </c>
    </row>
    <row r="206" spans="1:22">
      <c r="A206" s="11" t="s">
        <v>345</v>
      </c>
      <c r="B206" t="s">
        <v>49</v>
      </c>
      <c r="E206" s="12"/>
      <c r="Q206" s="122" t="str">
        <f>IF(C206="","",VLOOKUP(C206,snomed2,3,FALSE))</f>
        <v/>
      </c>
      <c r="R206" s="151" t="str">
        <f>IF(D206="","",VLOOKUP(D206,snomed2,3,FALSE))</f>
        <v/>
      </c>
      <c r="S206" s="122" t="str">
        <f>IF(E206="","",VLOOKUP(E206,snomed2,3,FALSE))</f>
        <v/>
      </c>
      <c r="T206" s="27" t="str">
        <f>IF(Q206="","",VLOOKUP(Q206,snomed,3,FALSE))</f>
        <v/>
      </c>
      <c r="U206" s="122" t="str">
        <f>IF(R206="","",VLOOKUP(R206,snomed,3,FALSE))</f>
        <v/>
      </c>
      <c r="V206" s="122" t="str">
        <f>IF(S206="","",VLOOKUP(S206,snomed,3,FALSE))</f>
        <v/>
      </c>
    </row>
    <row r="207" spans="1:22">
      <c r="A207" s="67" t="s">
        <v>346</v>
      </c>
      <c r="B207" t="s">
        <v>49</v>
      </c>
      <c r="E207" s="12"/>
      <c r="Q207" s="122" t="str">
        <f>IF(C207="","",VLOOKUP(C207,snomed2,3,FALSE))</f>
        <v/>
      </c>
      <c r="R207" s="151" t="str">
        <f>IF(D207="","",VLOOKUP(D207,snomed2,3,FALSE))</f>
        <v/>
      </c>
      <c r="S207" s="122" t="str">
        <f>IF(E207="","",VLOOKUP(E207,snomed2,3,FALSE))</f>
        <v/>
      </c>
      <c r="T207" s="27" t="str">
        <f>IF(Q207="","",VLOOKUP(Q207,snomed,3,FALSE))</f>
        <v/>
      </c>
      <c r="U207" s="122" t="str">
        <f>IF(R207="","",VLOOKUP(R207,snomed,3,FALSE))</f>
        <v/>
      </c>
      <c r="V207" s="122" t="str">
        <f>IF(S207="","",VLOOKUP(S207,snomed,3,FALSE))</f>
        <v/>
      </c>
    </row>
    <row r="208" spans="1:22">
      <c r="A208" s="67" t="s">
        <v>347</v>
      </c>
      <c r="B208" t="s">
        <v>49</v>
      </c>
      <c r="E208" s="12"/>
      <c r="Q208" s="122" t="str">
        <f>IF(C208="","",VLOOKUP(C208,snomed2,3,FALSE))</f>
        <v/>
      </c>
      <c r="R208" s="151" t="str">
        <f>IF(D208="","",VLOOKUP(D208,snomed2,3,FALSE))</f>
        <v/>
      </c>
      <c r="S208" s="122" t="str">
        <f>IF(E208="","",VLOOKUP(E208,snomed2,3,FALSE))</f>
        <v/>
      </c>
      <c r="T208" s="27" t="str">
        <f>IF(Q208="","",VLOOKUP(Q208,snomed,3,FALSE))</f>
        <v/>
      </c>
      <c r="U208" s="122" t="str">
        <f>IF(R208="","",VLOOKUP(R208,snomed,3,FALSE))</f>
        <v/>
      </c>
      <c r="V208" s="122" t="str">
        <f>IF(S208="","",VLOOKUP(S208,snomed,3,FALSE))</f>
        <v/>
      </c>
    </row>
    <row r="209" spans="1:22">
      <c r="A209" s="67" t="s">
        <v>348</v>
      </c>
      <c r="B209" t="s">
        <v>43</v>
      </c>
      <c r="E209" s="12"/>
      <c r="Q209" s="121"/>
      <c r="R209" s="152"/>
      <c r="S209" s="121"/>
      <c r="T209" s="2"/>
      <c r="U209" s="121"/>
      <c r="V209" s="121"/>
    </row>
    <row r="210" spans="1:22">
      <c r="A210" s="67" t="s">
        <v>349</v>
      </c>
      <c r="B210" t="s">
        <v>43</v>
      </c>
      <c r="C210" s="96" t="str">
        <f>IF(LEFT($E180,2)&lt;25,"",IF(C209="","",(C209/VLOOKUP($E180,marsal,3,FALSE))-1))</f>
        <v/>
      </c>
      <c r="D210" s="96" t="str">
        <f>IF(LEFT($E180,2)&lt;25,"",IF(D209="","",(D209/VLOOKUP($E180,marsal,3,FALSE))-1))</f>
        <v/>
      </c>
      <c r="E210" s="140" t="str">
        <f>IF(LEFT($E180,2)&lt;25,"",IF(E209="","",(E209/VLOOKUP($E180,marsal,3,FALSE))-1))</f>
        <v/>
      </c>
      <c r="Q210" s="121"/>
      <c r="R210" s="152"/>
      <c r="S210" s="121"/>
      <c r="T210" s="2"/>
      <c r="U210" s="121"/>
      <c r="V210" s="121"/>
    </row>
    <row r="211" spans="1:22">
      <c r="A211" s="67" t="s">
        <v>350</v>
      </c>
      <c r="B211" t="s">
        <v>49</v>
      </c>
      <c r="E211" s="12"/>
      <c r="Q211" s="122" t="str">
        <f>IF(C211="","",VLOOKUP(C211,fostervand_snom,2,FALSE))</f>
        <v/>
      </c>
      <c r="R211" s="122" t="str">
        <f>IF(D211="","",VLOOKUP(D211,fostervand_snom,2,FALSE))</f>
        <v/>
      </c>
      <c r="S211" s="122" t="str">
        <f>IF(E211="","",VLOOKUP(E211,fostervand_snom,2,FALSE))</f>
        <v/>
      </c>
      <c r="T211" s="27" t="str">
        <f>IF(Q211="","",VLOOKUP(Q211,snomed,3,FALSE))</f>
        <v/>
      </c>
      <c r="U211" s="122" t="str">
        <f>IF(R211="","",VLOOKUP(R211,snomed,3,FALSE))</f>
        <v/>
      </c>
      <c r="V211" s="122" t="str">
        <f>IF(S211="","",VLOOKUP(S211,snomed,3,FALSE))</f>
        <v/>
      </c>
    </row>
    <row r="212" spans="1:22">
      <c r="A212" s="68" t="s">
        <v>352</v>
      </c>
      <c r="B212" s="15" t="s">
        <v>40</v>
      </c>
      <c r="C212" s="15"/>
      <c r="D212" s="15"/>
      <c r="E212" s="16"/>
      <c r="Q212" s="123"/>
      <c r="R212" s="153"/>
      <c r="S212" s="123"/>
      <c r="T212" s="156"/>
      <c r="U212" s="123"/>
      <c r="V212" s="123"/>
    </row>
    <row r="213" spans="1:22">
      <c r="Q213" s="2"/>
    </row>
    <row r="214" spans="1:22">
      <c r="A214" s="9" t="s">
        <v>358</v>
      </c>
      <c r="B214" s="10"/>
      <c r="C214" s="34" t="s">
        <v>27</v>
      </c>
      <c r="D214" s="39" t="s">
        <v>186</v>
      </c>
      <c r="E214" s="32" t="s">
        <v>29</v>
      </c>
    </row>
    <row r="215" spans="1:22">
      <c r="A215" s="11" t="s">
        <v>312</v>
      </c>
      <c r="B215" s="24" t="str">
        <f>IF(C215="","",VLOOKUP(C215,AftalerDatoer!$C$3:$G$26,4,FALSE))</f>
        <v/>
      </c>
      <c r="C215" s="20"/>
      <c r="D215" s="19" t="str">
        <f>IF(C215="","",VLOOKUP(C215,AftalerDatoer!$C$3:$E$26,2,FALSE))</f>
        <v/>
      </c>
      <c r="E215" s="12" t="str" cm="1">
        <f t="array" ref="E215">_xlfn.IFS(C215="","",VLOOKUP(C215,AftalerDatoer!$C$3:$H$26,4,FALSE)="SM",VLOOKUP(C215,AftalerDatoer!$C$3:$H$26,3,FALSE),VLOOKUP(C215,AftalerDatoer!$C$3:$H$26,4,FALSE)="UL",VLOOKUP(C215,AftalerDatoer!$C$3:$H$26,5,FALSE))</f>
        <v/>
      </c>
    </row>
    <row r="216" spans="1:22">
      <c r="A216" s="11" t="s">
        <v>72</v>
      </c>
      <c r="B216" t="s">
        <v>40</v>
      </c>
      <c r="E216" s="12"/>
    </row>
    <row r="217" spans="1:22">
      <c r="A217" s="11" t="s">
        <v>313</v>
      </c>
      <c r="B217" t="s">
        <v>70</v>
      </c>
      <c r="E217" s="12"/>
    </row>
    <row r="218" spans="1:22">
      <c r="A218" s="11" t="s">
        <v>314</v>
      </c>
      <c r="B218" t="s">
        <v>70</v>
      </c>
      <c r="E218" s="12"/>
    </row>
    <row r="219" spans="1:22">
      <c r="A219" s="11" t="s">
        <v>315</v>
      </c>
      <c r="B219" t="s">
        <v>316</v>
      </c>
      <c r="E219" s="12"/>
    </row>
    <row r="220" spans="1:22">
      <c r="A220" s="11" t="s">
        <v>44</v>
      </c>
      <c r="B220" t="s">
        <v>317</v>
      </c>
      <c r="E220" s="12"/>
    </row>
    <row r="221" spans="1:22">
      <c r="A221" s="11" t="s">
        <v>45</v>
      </c>
      <c r="B221" t="s">
        <v>318</v>
      </c>
      <c r="C221" s="13" t="str">
        <f t="shared" ref="C221:C256" si="3">IF(C220="","",C219/((C220/100)^2))</f>
        <v/>
      </c>
      <c r="E221" s="40" t="s">
        <v>319</v>
      </c>
    </row>
    <row r="222" spans="1:22">
      <c r="A222" s="11" t="s">
        <v>320</v>
      </c>
      <c r="B222" t="s">
        <v>40</v>
      </c>
      <c r="E222" s="166"/>
    </row>
    <row r="223" spans="1:22">
      <c r="A223" s="11" t="s">
        <v>321</v>
      </c>
      <c r="B223" t="s">
        <v>40</v>
      </c>
      <c r="E223" s="166"/>
    </row>
    <row r="224" spans="1:22">
      <c r="A224" s="11" t="s">
        <v>322</v>
      </c>
      <c r="B224" t="s">
        <v>70</v>
      </c>
      <c r="E224" s="166"/>
    </row>
    <row r="225" spans="1:22">
      <c r="A225" s="67" t="s">
        <v>323</v>
      </c>
      <c r="B225" t="s">
        <v>40</v>
      </c>
      <c r="E225" s="166"/>
    </row>
    <row r="226" spans="1:22">
      <c r="A226" s="67" t="s">
        <v>324</v>
      </c>
      <c r="B226" t="s">
        <v>325</v>
      </c>
      <c r="E226" s="166"/>
    </row>
    <row r="227" spans="1:22">
      <c r="A227" s="67" t="s">
        <v>326</v>
      </c>
      <c r="B227" t="s">
        <v>327</v>
      </c>
      <c r="E227" s="166"/>
    </row>
    <row r="228" spans="1:22">
      <c r="A228" s="14" t="s">
        <v>328</v>
      </c>
      <c r="E228" s="12"/>
    </row>
    <row r="229" spans="1:22">
      <c r="A229" s="11" t="s">
        <v>329</v>
      </c>
      <c r="B229" t="s">
        <v>40</v>
      </c>
      <c r="E229" s="12"/>
      <c r="R229" s="84"/>
      <c r="S229" s="84"/>
    </row>
    <row r="230" spans="1:22">
      <c r="A230" s="11" t="s">
        <v>330</v>
      </c>
      <c r="B230" t="s">
        <v>40</v>
      </c>
      <c r="E230" s="12"/>
    </row>
    <row r="231" spans="1:22">
      <c r="A231" s="11" t="s">
        <v>331</v>
      </c>
      <c r="B231" t="s">
        <v>40</v>
      </c>
      <c r="E231" s="12"/>
    </row>
    <row r="232" spans="1:22">
      <c r="A232" s="11" t="s">
        <v>332</v>
      </c>
      <c r="B232" t="s">
        <v>40</v>
      </c>
      <c r="E232" s="12"/>
    </row>
    <row r="233" spans="1:22">
      <c r="A233" s="11" t="s">
        <v>333</v>
      </c>
      <c r="B233" t="s">
        <v>40</v>
      </c>
      <c r="E233" s="12"/>
      <c r="Q233" s="2"/>
    </row>
    <row r="234" spans="1:22">
      <c r="A234" s="11" t="s">
        <v>334</v>
      </c>
      <c r="B234" t="s">
        <v>49</v>
      </c>
      <c r="E234" s="12"/>
      <c r="Q234" s="124" t="str">
        <f>IF(C234="","",VLOOKUP(C234,snomed2,3,FALSE))</f>
        <v/>
      </c>
      <c r="T234" s="124" t="str">
        <f>IF(Q234="","",VLOOKUP(Q234,snomed,3,FALSE))</f>
        <v/>
      </c>
    </row>
    <row r="235" spans="1:22">
      <c r="A235" s="14" t="s">
        <v>335</v>
      </c>
      <c r="E235" s="12"/>
      <c r="Q235" s="121"/>
      <c r="T235" s="121"/>
    </row>
    <row r="236" spans="1:22">
      <c r="A236" s="11" t="s">
        <v>336</v>
      </c>
      <c r="B236" t="s">
        <v>337</v>
      </c>
      <c r="E236" s="12"/>
      <c r="P236" s="149"/>
      <c r="Q236" s="121"/>
      <c r="T236" s="121"/>
    </row>
    <row r="237" spans="1:22">
      <c r="A237" s="11" t="s">
        <v>338</v>
      </c>
      <c r="C237" s="1" t="s">
        <v>339</v>
      </c>
      <c r="D237" s="1" t="s">
        <v>340</v>
      </c>
      <c r="E237" s="40" t="s">
        <v>341</v>
      </c>
      <c r="P237" s="1"/>
      <c r="Q237" s="121"/>
      <c r="T237" s="121"/>
    </row>
    <row r="238" spans="1:22">
      <c r="A238" s="11" t="s">
        <v>342</v>
      </c>
      <c r="B238" t="s">
        <v>40</v>
      </c>
      <c r="E238" s="12"/>
      <c r="Q238" s="121"/>
      <c r="T238" s="121"/>
    </row>
    <row r="239" spans="1:22">
      <c r="A239" s="11" t="s">
        <v>343</v>
      </c>
      <c r="B239" t="s">
        <v>49</v>
      </c>
      <c r="E239" s="12"/>
      <c r="Q239" s="122" t="str">
        <f>IF(C239="","",VLOOKUP(C239,snomed2,3,FALSE))</f>
        <v/>
      </c>
      <c r="R239" s="150" t="str">
        <f>IF(D239="","",VLOOKUP(D239,snomed2,3,FALSE))</f>
        <v/>
      </c>
      <c r="S239" s="124" t="str">
        <f>IF(E239="","",VLOOKUP(E239,snomed2,3,FALSE))</f>
        <v/>
      </c>
      <c r="T239" s="27" t="str">
        <f>IF(Q239="","",VLOOKUP(Q239,snomed,3,FALSE))</f>
        <v/>
      </c>
      <c r="U239" s="124" t="str">
        <f>IF(R239="","",VLOOKUP(R239,snomed,3,FALSE))</f>
        <v/>
      </c>
      <c r="V239" s="124" t="str">
        <f>IF(S239="","",VLOOKUP(S239,snomed,3,FALSE))</f>
        <v/>
      </c>
    </row>
    <row r="240" spans="1:22">
      <c r="A240" s="11" t="s">
        <v>344</v>
      </c>
      <c r="B240" t="s">
        <v>49</v>
      </c>
      <c r="E240" s="12"/>
      <c r="Q240" s="122" t="str">
        <f>IF(C240="","",VLOOKUP(C240,snomed2,3,FALSE))</f>
        <v/>
      </c>
      <c r="R240" s="151" t="str">
        <f>IF(D240="","",VLOOKUP(D240,snomed2,3,FALSE))</f>
        <v/>
      </c>
      <c r="S240" s="122" t="str">
        <f>IF(E240="","",VLOOKUP(E240,snomed2,3,FALSE))</f>
        <v/>
      </c>
      <c r="T240" s="27" t="str">
        <f>IF(Q240="","",VLOOKUP(Q240,snomed,3,FALSE))</f>
        <v/>
      </c>
      <c r="U240" s="122" t="str">
        <f>IF(R240="","",VLOOKUP(R240,snomed,3,FALSE))</f>
        <v/>
      </c>
      <c r="V240" s="122" t="str">
        <f>IF(S240="","",VLOOKUP(S240,snomed,3,FALSE))</f>
        <v/>
      </c>
    </row>
    <row r="241" spans="1:22">
      <c r="A241" s="11" t="s">
        <v>345</v>
      </c>
      <c r="B241" t="s">
        <v>49</v>
      </c>
      <c r="E241" s="12"/>
      <c r="Q241" s="122" t="str">
        <f>IF(C241="","",VLOOKUP(C241,snomed2,3,FALSE))</f>
        <v/>
      </c>
      <c r="R241" s="151" t="str">
        <f>IF(D241="","",VLOOKUP(D241,snomed2,3,FALSE))</f>
        <v/>
      </c>
      <c r="S241" s="122" t="str">
        <f>IF(E241="","",VLOOKUP(E241,snomed2,3,FALSE))</f>
        <v/>
      </c>
      <c r="T241" s="27" t="str">
        <f>IF(Q241="","",VLOOKUP(Q241,snomed,3,FALSE))</f>
        <v/>
      </c>
      <c r="U241" s="122" t="str">
        <f>IF(R241="","",VLOOKUP(R241,snomed,3,FALSE))</f>
        <v/>
      </c>
      <c r="V241" s="122" t="str">
        <f>IF(S241="","",VLOOKUP(S241,snomed,3,FALSE))</f>
        <v/>
      </c>
    </row>
    <row r="242" spans="1:22">
      <c r="A242" s="67" t="s">
        <v>346</v>
      </c>
      <c r="B242" t="s">
        <v>49</v>
      </c>
      <c r="E242" s="12"/>
      <c r="Q242" s="122" t="str">
        <f>IF(C242="","",VLOOKUP(C242,snomed2,3,FALSE))</f>
        <v/>
      </c>
      <c r="R242" s="151" t="str">
        <f>IF(D242="","",VLOOKUP(D242,snomed2,3,FALSE))</f>
        <v/>
      </c>
      <c r="S242" s="122" t="str">
        <f>IF(E242="","",VLOOKUP(E242,snomed2,3,FALSE))</f>
        <v/>
      </c>
      <c r="T242" s="27" t="str">
        <f>IF(Q242="","",VLOOKUP(Q242,snomed,3,FALSE))</f>
        <v/>
      </c>
      <c r="U242" s="122" t="str">
        <f>IF(R242="","",VLOOKUP(R242,snomed,3,FALSE))</f>
        <v/>
      </c>
      <c r="V242" s="122" t="str">
        <f>IF(S242="","",VLOOKUP(S242,snomed,3,FALSE))</f>
        <v/>
      </c>
    </row>
    <row r="243" spans="1:22">
      <c r="A243" s="67" t="s">
        <v>347</v>
      </c>
      <c r="B243" t="s">
        <v>49</v>
      </c>
      <c r="E243" s="12"/>
      <c r="Q243" s="122" t="str">
        <f>IF(C243="","",VLOOKUP(C243,snomed2,3,FALSE))</f>
        <v/>
      </c>
      <c r="R243" s="151" t="str">
        <f>IF(D243="","",VLOOKUP(D243,snomed2,3,FALSE))</f>
        <v/>
      </c>
      <c r="S243" s="122" t="str">
        <f>IF(E243="","",VLOOKUP(E243,snomed2,3,FALSE))</f>
        <v/>
      </c>
      <c r="T243" s="27" t="str">
        <f>IF(Q243="","",VLOOKUP(Q243,snomed,3,FALSE))</f>
        <v/>
      </c>
      <c r="U243" s="122" t="str">
        <f>IF(R243="","",VLOOKUP(R243,snomed,3,FALSE))</f>
        <v/>
      </c>
      <c r="V243" s="122" t="str">
        <f>IF(S243="","",VLOOKUP(S243,snomed,3,FALSE))</f>
        <v/>
      </c>
    </row>
    <row r="244" spans="1:22">
      <c r="A244" s="67" t="s">
        <v>348</v>
      </c>
      <c r="B244" t="s">
        <v>43</v>
      </c>
      <c r="E244" s="12"/>
      <c r="Q244" s="121"/>
      <c r="R244" s="152"/>
      <c r="S244" s="121"/>
      <c r="T244" s="2"/>
      <c r="U244" s="121"/>
      <c r="V244" s="121"/>
    </row>
    <row r="245" spans="1:22">
      <c r="A245" s="67" t="s">
        <v>349</v>
      </c>
      <c r="B245" t="s">
        <v>43</v>
      </c>
      <c r="C245" s="96" t="str">
        <f>IF(LEFT($E215,2)&lt;25,"",IF(C244="","",(C244/VLOOKUP($E215,marsal,3,FALSE))-1))</f>
        <v/>
      </c>
      <c r="D245" s="96" t="str">
        <f>IF(LEFT($E215,2)&lt;25,"",IF(D244="","",(D244/VLOOKUP($E215,marsal,3,FALSE))-1))</f>
        <v/>
      </c>
      <c r="E245" s="140" t="str">
        <f>IF(LEFT($E215,2)&lt;25,"",IF(E244="","",(E244/VLOOKUP($E215,marsal,3,FALSE))-1))</f>
        <v/>
      </c>
      <c r="Q245" s="121"/>
      <c r="R245" s="152"/>
      <c r="S245" s="121"/>
      <c r="T245" s="2"/>
      <c r="U245" s="121"/>
      <c r="V245" s="121"/>
    </row>
    <row r="246" spans="1:22">
      <c r="A246" s="67" t="s">
        <v>350</v>
      </c>
      <c r="B246" t="s">
        <v>49</v>
      </c>
      <c r="E246" s="12"/>
      <c r="Q246" s="122" t="str">
        <f>IF(C246="","",VLOOKUP(C246,fostervand_snom,2,FALSE))</f>
        <v/>
      </c>
      <c r="R246" s="122" t="str">
        <f>IF(D246="","",VLOOKUP(D246,fostervand_snom,2,FALSE))</f>
        <v/>
      </c>
      <c r="S246" s="122" t="str">
        <f>IF(E246="","",VLOOKUP(E246,fostervand_snom,2,FALSE))</f>
        <v/>
      </c>
      <c r="T246" s="27" t="str">
        <f>IF(Q246="","",VLOOKUP(Q246,snomed,3,FALSE))</f>
        <v/>
      </c>
      <c r="U246" s="122" t="str">
        <f>IF(R246="","",VLOOKUP(R246,snomed,3,FALSE))</f>
        <v/>
      </c>
      <c r="V246" s="122" t="str">
        <f>IF(S246="","",VLOOKUP(S246,snomed,3,FALSE))</f>
        <v/>
      </c>
    </row>
    <row r="247" spans="1:22">
      <c r="A247" s="68" t="s">
        <v>352</v>
      </c>
      <c r="B247" s="15" t="s">
        <v>40</v>
      </c>
      <c r="C247" s="15"/>
      <c r="D247" s="15"/>
      <c r="E247" s="16"/>
      <c r="Q247" s="123"/>
      <c r="R247" s="153"/>
      <c r="S247" s="123"/>
      <c r="T247" s="156"/>
      <c r="U247" s="123"/>
      <c r="V247" s="123"/>
    </row>
    <row r="248" spans="1:22">
      <c r="Q248" s="2"/>
    </row>
    <row r="249" spans="1:22">
      <c r="A249" s="9" t="s">
        <v>359</v>
      </c>
      <c r="B249" s="10"/>
      <c r="C249" s="34" t="s">
        <v>27</v>
      </c>
      <c r="D249" s="39" t="s">
        <v>186</v>
      </c>
      <c r="E249" s="32" t="s">
        <v>29</v>
      </c>
    </row>
    <row r="250" spans="1:22">
      <c r="A250" s="11" t="s">
        <v>312</v>
      </c>
      <c r="B250" s="24" t="str">
        <f>IF(C250="","",VLOOKUP(C250,AftalerDatoer!$C$3:$G$26,4,FALSE))</f>
        <v/>
      </c>
      <c r="C250" s="20"/>
      <c r="D250" s="19" t="str">
        <f>IF(C250="","",VLOOKUP(C250,AftalerDatoer!$C$3:$E$26,2,FALSE))</f>
        <v/>
      </c>
      <c r="E250" s="12" t="str" cm="1">
        <f t="array" ref="E250">_xlfn.IFS(C250="","",VLOOKUP(C250,AftalerDatoer!$C$3:$H$26,4,FALSE)="SM",VLOOKUP(C250,AftalerDatoer!$C$3:$H$26,3,FALSE),VLOOKUP(C250,AftalerDatoer!$C$3:$H$26,4,FALSE)="UL",VLOOKUP(C250,AftalerDatoer!$C$3:$H$26,5,FALSE))</f>
        <v/>
      </c>
    </row>
    <row r="251" spans="1:22">
      <c r="A251" s="11" t="s">
        <v>72</v>
      </c>
      <c r="B251" t="s">
        <v>40</v>
      </c>
      <c r="E251" s="12"/>
    </row>
    <row r="252" spans="1:22">
      <c r="A252" s="11" t="s">
        <v>313</v>
      </c>
      <c r="B252" t="s">
        <v>70</v>
      </c>
      <c r="E252" s="12"/>
    </row>
    <row r="253" spans="1:22">
      <c r="A253" s="11" t="s">
        <v>314</v>
      </c>
      <c r="B253" t="s">
        <v>70</v>
      </c>
      <c r="E253" s="12"/>
    </row>
    <row r="254" spans="1:22">
      <c r="A254" s="11" t="s">
        <v>315</v>
      </c>
      <c r="B254" t="s">
        <v>316</v>
      </c>
      <c r="E254" s="12"/>
    </row>
    <row r="255" spans="1:22">
      <c r="A255" s="11" t="s">
        <v>44</v>
      </c>
      <c r="B255" t="s">
        <v>317</v>
      </c>
      <c r="E255" s="12"/>
    </row>
    <row r="256" spans="1:22">
      <c r="A256" s="11" t="s">
        <v>45</v>
      </c>
      <c r="B256" t="s">
        <v>318</v>
      </c>
      <c r="C256" s="13" t="str">
        <f t="shared" si="3"/>
        <v/>
      </c>
      <c r="E256" s="40" t="s">
        <v>319</v>
      </c>
    </row>
    <row r="257" spans="1:20">
      <c r="A257" s="11" t="s">
        <v>320</v>
      </c>
      <c r="B257" t="s">
        <v>40</v>
      </c>
      <c r="E257" s="166"/>
    </row>
    <row r="258" spans="1:20">
      <c r="A258" s="11" t="s">
        <v>321</v>
      </c>
      <c r="B258" t="s">
        <v>40</v>
      </c>
      <c r="E258" s="166"/>
    </row>
    <row r="259" spans="1:20">
      <c r="A259" s="11" t="s">
        <v>322</v>
      </c>
      <c r="B259" t="s">
        <v>70</v>
      </c>
      <c r="E259" s="166"/>
    </row>
    <row r="260" spans="1:20">
      <c r="A260" s="67" t="s">
        <v>323</v>
      </c>
      <c r="B260" t="s">
        <v>40</v>
      </c>
      <c r="E260" s="166"/>
    </row>
    <row r="261" spans="1:20">
      <c r="A261" s="67" t="s">
        <v>324</v>
      </c>
      <c r="B261" t="s">
        <v>325</v>
      </c>
      <c r="E261" s="166"/>
    </row>
    <row r="262" spans="1:20">
      <c r="A262" s="67" t="s">
        <v>326</v>
      </c>
      <c r="B262" t="s">
        <v>327</v>
      </c>
      <c r="E262" s="166"/>
    </row>
    <row r="263" spans="1:20">
      <c r="A263" s="14" t="s">
        <v>328</v>
      </c>
      <c r="E263" s="12"/>
    </row>
    <row r="264" spans="1:20">
      <c r="A264" s="11" t="s">
        <v>329</v>
      </c>
      <c r="B264" t="s">
        <v>40</v>
      </c>
      <c r="E264" s="12"/>
      <c r="R264" s="84"/>
      <c r="S264" s="84"/>
    </row>
    <row r="265" spans="1:20">
      <c r="A265" s="11" t="s">
        <v>330</v>
      </c>
      <c r="B265" t="s">
        <v>40</v>
      </c>
      <c r="E265" s="12"/>
    </row>
    <row r="266" spans="1:20">
      <c r="A266" s="11" t="s">
        <v>331</v>
      </c>
      <c r="B266" t="s">
        <v>40</v>
      </c>
      <c r="E266" s="12"/>
    </row>
    <row r="267" spans="1:20">
      <c r="A267" s="11" t="s">
        <v>332</v>
      </c>
      <c r="B267" t="s">
        <v>40</v>
      </c>
      <c r="E267" s="12"/>
    </row>
    <row r="268" spans="1:20">
      <c r="A268" s="11" t="s">
        <v>333</v>
      </c>
      <c r="B268" t="s">
        <v>40</v>
      </c>
      <c r="E268" s="12"/>
      <c r="Q268" s="2"/>
    </row>
    <row r="269" spans="1:20">
      <c r="A269" s="11" t="s">
        <v>334</v>
      </c>
      <c r="B269" t="s">
        <v>49</v>
      </c>
      <c r="E269" s="12"/>
      <c r="Q269" s="124" t="str">
        <f>IF(C269="","",VLOOKUP(C269,snomed2,3,FALSE))</f>
        <v/>
      </c>
      <c r="T269" s="124" t="str">
        <f>IF(Q269="","",VLOOKUP(Q269,snomed,3,FALSE))</f>
        <v/>
      </c>
    </row>
    <row r="270" spans="1:20">
      <c r="A270" s="14" t="s">
        <v>335</v>
      </c>
      <c r="E270" s="12"/>
      <c r="Q270" s="121"/>
      <c r="T270" s="121"/>
    </row>
    <row r="271" spans="1:20">
      <c r="A271" s="11" t="s">
        <v>336</v>
      </c>
      <c r="B271" t="s">
        <v>337</v>
      </c>
      <c r="E271" s="12"/>
      <c r="P271" s="149"/>
      <c r="Q271" s="121"/>
      <c r="T271" s="121"/>
    </row>
    <row r="272" spans="1:20">
      <c r="A272" s="11" t="s">
        <v>338</v>
      </c>
      <c r="C272" s="1" t="s">
        <v>339</v>
      </c>
      <c r="D272" s="1" t="s">
        <v>340</v>
      </c>
      <c r="E272" s="40" t="s">
        <v>341</v>
      </c>
      <c r="P272" s="1"/>
      <c r="Q272" s="121"/>
      <c r="T272" s="121"/>
    </row>
    <row r="273" spans="1:22">
      <c r="A273" s="11" t="s">
        <v>342</v>
      </c>
      <c r="B273" t="s">
        <v>40</v>
      </c>
      <c r="E273" s="12"/>
      <c r="Q273" s="121"/>
      <c r="T273" s="121"/>
    </row>
    <row r="274" spans="1:22">
      <c r="A274" s="11" t="s">
        <v>343</v>
      </c>
      <c r="B274" t="s">
        <v>49</v>
      </c>
      <c r="E274" s="12"/>
      <c r="Q274" s="122" t="str">
        <f>IF(C274="","",VLOOKUP(C274,snomed2,3,FALSE))</f>
        <v/>
      </c>
      <c r="R274" s="150" t="str">
        <f>IF(D274="","",VLOOKUP(D274,snomed2,3,FALSE))</f>
        <v/>
      </c>
      <c r="S274" s="124" t="str">
        <f>IF(E274="","",VLOOKUP(E274,snomed2,3,FALSE))</f>
        <v/>
      </c>
      <c r="T274" s="27" t="str">
        <f>IF(Q274="","",VLOOKUP(Q274,snomed,3,FALSE))</f>
        <v/>
      </c>
      <c r="U274" s="124" t="str">
        <f>IF(R274="","",VLOOKUP(R274,snomed,3,FALSE))</f>
        <v/>
      </c>
      <c r="V274" s="124" t="str">
        <f>IF(S274="","",VLOOKUP(S274,snomed,3,FALSE))</f>
        <v/>
      </c>
    </row>
    <row r="275" spans="1:22">
      <c r="A275" s="11" t="s">
        <v>344</v>
      </c>
      <c r="B275" t="s">
        <v>49</v>
      </c>
      <c r="E275" s="12"/>
      <c r="Q275" s="122" t="str">
        <f>IF(C275="","",VLOOKUP(C275,snomed2,3,FALSE))</f>
        <v/>
      </c>
      <c r="R275" s="151" t="str">
        <f>IF(D275="","",VLOOKUP(D275,snomed2,3,FALSE))</f>
        <v/>
      </c>
      <c r="S275" s="122" t="str">
        <f>IF(E275="","",VLOOKUP(E275,snomed2,3,FALSE))</f>
        <v/>
      </c>
      <c r="T275" s="27" t="str">
        <f>IF(Q275="","",VLOOKUP(Q275,snomed,3,FALSE))</f>
        <v/>
      </c>
      <c r="U275" s="122" t="str">
        <f>IF(R275="","",VLOOKUP(R275,snomed,3,FALSE))</f>
        <v/>
      </c>
      <c r="V275" s="122" t="str">
        <f>IF(S275="","",VLOOKUP(S275,snomed,3,FALSE))</f>
        <v/>
      </c>
    </row>
    <row r="276" spans="1:22">
      <c r="A276" s="11" t="s">
        <v>345</v>
      </c>
      <c r="B276" t="s">
        <v>49</v>
      </c>
      <c r="E276" s="12"/>
      <c r="Q276" s="122" t="str">
        <f>IF(C276="","",VLOOKUP(C276,snomed2,3,FALSE))</f>
        <v/>
      </c>
      <c r="R276" s="151" t="str">
        <f>IF(D276="","",VLOOKUP(D276,snomed2,3,FALSE))</f>
        <v/>
      </c>
      <c r="S276" s="122" t="str">
        <f>IF(E276="","",VLOOKUP(E276,snomed2,3,FALSE))</f>
        <v/>
      </c>
      <c r="T276" s="27" t="str">
        <f>IF(Q276="","",VLOOKUP(Q276,snomed,3,FALSE))</f>
        <v/>
      </c>
      <c r="U276" s="122" t="str">
        <f>IF(R276="","",VLOOKUP(R276,snomed,3,FALSE))</f>
        <v/>
      </c>
      <c r="V276" s="122" t="str">
        <f>IF(S276="","",VLOOKUP(S276,snomed,3,FALSE))</f>
        <v/>
      </c>
    </row>
    <row r="277" spans="1:22">
      <c r="A277" s="67" t="s">
        <v>346</v>
      </c>
      <c r="B277" t="s">
        <v>49</v>
      </c>
      <c r="E277" s="12"/>
      <c r="Q277" s="122" t="str">
        <f>IF(C277="","",VLOOKUP(C277,snomed2,3,FALSE))</f>
        <v/>
      </c>
      <c r="R277" s="151" t="str">
        <f>IF(D277="","",VLOOKUP(D277,snomed2,3,FALSE))</f>
        <v/>
      </c>
      <c r="S277" s="122" t="str">
        <f>IF(E277="","",VLOOKUP(E277,snomed2,3,FALSE))</f>
        <v/>
      </c>
      <c r="T277" s="27" t="str">
        <f>IF(Q277="","",VLOOKUP(Q277,snomed,3,FALSE))</f>
        <v/>
      </c>
      <c r="U277" s="122" t="str">
        <f>IF(R277="","",VLOOKUP(R277,snomed,3,FALSE))</f>
        <v/>
      </c>
      <c r="V277" s="122" t="str">
        <f>IF(S277="","",VLOOKUP(S277,snomed,3,FALSE))</f>
        <v/>
      </c>
    </row>
    <row r="278" spans="1:22">
      <c r="A278" s="67" t="s">
        <v>347</v>
      </c>
      <c r="B278" t="s">
        <v>49</v>
      </c>
      <c r="E278" s="12"/>
      <c r="Q278" s="122" t="str">
        <f>IF(C278="","",VLOOKUP(C278,snomed2,3,FALSE))</f>
        <v/>
      </c>
      <c r="R278" s="151" t="str">
        <f>IF(D278="","",VLOOKUP(D278,snomed2,3,FALSE))</f>
        <v/>
      </c>
      <c r="S278" s="122" t="str">
        <f>IF(E278="","",VLOOKUP(E278,snomed2,3,FALSE))</f>
        <v/>
      </c>
      <c r="T278" s="27" t="str">
        <f>IF(Q278="","",VLOOKUP(Q278,snomed,3,FALSE))</f>
        <v/>
      </c>
      <c r="U278" s="122" t="str">
        <f>IF(R278="","",VLOOKUP(R278,snomed,3,FALSE))</f>
        <v/>
      </c>
      <c r="V278" s="122" t="str">
        <f>IF(S278="","",VLOOKUP(S278,snomed,3,FALSE))</f>
        <v/>
      </c>
    </row>
    <row r="279" spans="1:22">
      <c r="A279" s="67" t="s">
        <v>348</v>
      </c>
      <c r="B279" t="s">
        <v>43</v>
      </c>
      <c r="E279" s="12"/>
      <c r="Q279" s="121"/>
      <c r="R279" s="152"/>
      <c r="S279" s="121"/>
      <c r="T279" s="2"/>
      <c r="U279" s="121"/>
      <c r="V279" s="121"/>
    </row>
    <row r="280" spans="1:22">
      <c r="A280" s="67" t="s">
        <v>349</v>
      </c>
      <c r="B280" t="s">
        <v>43</v>
      </c>
      <c r="C280" s="96" t="str">
        <f>IF(LEFT($E250,2)&lt;25,"",IF(C279="","",(C279/VLOOKUP($E250,marsal,3,FALSE))-1))</f>
        <v/>
      </c>
      <c r="D280" s="96" t="str">
        <f>IF(LEFT($E250,2)&lt;25,"",IF(D279="","",(D279/VLOOKUP($E250,marsal,3,FALSE))-1))</f>
        <v/>
      </c>
      <c r="E280" s="140" t="str">
        <f>IF(LEFT($E250,2)&lt;25,"",IF(E279="","",(E279/VLOOKUP($E250,marsal,3,FALSE))-1))</f>
        <v/>
      </c>
      <c r="Q280" s="121"/>
      <c r="R280" s="152"/>
      <c r="S280" s="121"/>
      <c r="T280" s="2"/>
      <c r="U280" s="121"/>
      <c r="V280" s="121"/>
    </row>
    <row r="281" spans="1:22">
      <c r="A281" s="67" t="s">
        <v>350</v>
      </c>
      <c r="B281" t="s">
        <v>49</v>
      </c>
      <c r="E281" s="12"/>
      <c r="Q281" s="122" t="str">
        <f>IF(C281="","",VLOOKUP(C281,fostervand_snom,2,FALSE))</f>
        <v/>
      </c>
      <c r="R281" s="122" t="str">
        <f>IF(D281="","",VLOOKUP(D281,fostervand_snom,2,FALSE))</f>
        <v/>
      </c>
      <c r="S281" s="122" t="str">
        <f>IF(E281="","",VLOOKUP(E281,fostervand_snom,2,FALSE))</f>
        <v/>
      </c>
      <c r="T281" s="27" t="str">
        <f>IF(Q281="","",VLOOKUP(Q281,snomed,3,FALSE))</f>
        <v/>
      </c>
      <c r="U281" s="122" t="str">
        <f>IF(R281="","",VLOOKUP(R281,snomed,3,FALSE))</f>
        <v/>
      </c>
      <c r="V281" s="122" t="str">
        <f>IF(S281="","",VLOOKUP(S281,snomed,3,FALSE))</f>
        <v/>
      </c>
    </row>
    <row r="282" spans="1:22">
      <c r="A282" s="68" t="s">
        <v>352</v>
      </c>
      <c r="B282" s="15" t="s">
        <v>40</v>
      </c>
      <c r="C282" s="15"/>
      <c r="D282" s="15"/>
      <c r="E282" s="16"/>
      <c r="Q282" s="123"/>
      <c r="R282" s="153"/>
      <c r="S282" s="123"/>
      <c r="T282" s="156"/>
      <c r="U282" s="123"/>
      <c r="V282" s="123"/>
    </row>
    <row r="283" spans="1:22">
      <c r="Q283" s="2"/>
    </row>
    <row r="284" spans="1:22">
      <c r="A284" s="9" t="s">
        <v>360</v>
      </c>
      <c r="B284" s="10"/>
      <c r="C284" s="34" t="s">
        <v>27</v>
      </c>
      <c r="D284" s="39" t="s">
        <v>186</v>
      </c>
      <c r="E284" s="32" t="s">
        <v>29</v>
      </c>
    </row>
    <row r="285" spans="1:22">
      <c r="A285" s="11" t="s">
        <v>312</v>
      </c>
      <c r="B285" s="24" t="str">
        <f>IF(C285="","",VLOOKUP(C285,AftalerDatoer!$C$3:$G$26,4,FALSE))</f>
        <v/>
      </c>
      <c r="C285" s="20"/>
      <c r="D285" s="19" t="str">
        <f>IF(C285="","",VLOOKUP(C285,AftalerDatoer!$C$3:$E$26,2,FALSE))</f>
        <v/>
      </c>
      <c r="E285" s="12" t="str" cm="1">
        <f t="array" ref="E285">_xlfn.IFS(C285="","",VLOOKUP(C285,AftalerDatoer!$C$3:$H$26,4,FALSE)="SM",VLOOKUP(C285,AftalerDatoer!$C$3:$H$26,3,FALSE),VLOOKUP(C285,AftalerDatoer!$C$3:$H$26,4,FALSE)="UL",VLOOKUP(C285,AftalerDatoer!$C$3:$H$26,5,FALSE))</f>
        <v/>
      </c>
    </row>
    <row r="286" spans="1:22">
      <c r="A286" s="11" t="s">
        <v>72</v>
      </c>
      <c r="B286" t="s">
        <v>40</v>
      </c>
      <c r="E286" s="12"/>
    </row>
    <row r="287" spans="1:22">
      <c r="A287" s="11" t="s">
        <v>313</v>
      </c>
      <c r="B287" t="s">
        <v>70</v>
      </c>
      <c r="E287" s="12"/>
    </row>
    <row r="288" spans="1:22">
      <c r="A288" s="11" t="s">
        <v>314</v>
      </c>
      <c r="B288" t="s">
        <v>70</v>
      </c>
      <c r="E288" s="12"/>
    </row>
    <row r="289" spans="1:20">
      <c r="A289" s="11" t="s">
        <v>315</v>
      </c>
      <c r="B289" t="s">
        <v>316</v>
      </c>
      <c r="E289" s="12"/>
    </row>
    <row r="290" spans="1:20">
      <c r="A290" s="11" t="s">
        <v>44</v>
      </c>
      <c r="B290" t="s">
        <v>317</v>
      </c>
      <c r="E290" s="12"/>
    </row>
    <row r="291" spans="1:20">
      <c r="A291" s="11" t="s">
        <v>45</v>
      </c>
      <c r="B291" t="s">
        <v>318</v>
      </c>
      <c r="C291" s="13" t="str">
        <f t="shared" ref="C291:C326" si="4">IF(C290="","",C289/((C290/100)^2))</f>
        <v/>
      </c>
      <c r="E291" s="40" t="s">
        <v>319</v>
      </c>
    </row>
    <row r="292" spans="1:20">
      <c r="A292" s="11" t="s">
        <v>320</v>
      </c>
      <c r="B292" t="s">
        <v>40</v>
      </c>
      <c r="E292" s="166"/>
    </row>
    <row r="293" spans="1:20">
      <c r="A293" s="11" t="s">
        <v>321</v>
      </c>
      <c r="B293" t="s">
        <v>40</v>
      </c>
      <c r="E293" s="166"/>
    </row>
    <row r="294" spans="1:20">
      <c r="A294" s="11" t="s">
        <v>322</v>
      </c>
      <c r="B294" t="s">
        <v>70</v>
      </c>
      <c r="E294" s="166"/>
    </row>
    <row r="295" spans="1:20">
      <c r="A295" s="67" t="s">
        <v>323</v>
      </c>
      <c r="B295" t="s">
        <v>40</v>
      </c>
      <c r="E295" s="166"/>
    </row>
    <row r="296" spans="1:20">
      <c r="A296" s="67" t="s">
        <v>324</v>
      </c>
      <c r="B296" t="s">
        <v>325</v>
      </c>
      <c r="E296" s="166"/>
    </row>
    <row r="297" spans="1:20">
      <c r="A297" s="67" t="s">
        <v>326</v>
      </c>
      <c r="B297" t="s">
        <v>327</v>
      </c>
      <c r="E297" s="166"/>
    </row>
    <row r="298" spans="1:20">
      <c r="A298" s="14" t="s">
        <v>328</v>
      </c>
      <c r="E298" s="12"/>
    </row>
    <row r="299" spans="1:20">
      <c r="A299" s="11" t="s">
        <v>329</v>
      </c>
      <c r="B299" t="s">
        <v>40</v>
      </c>
      <c r="E299" s="12"/>
      <c r="R299" s="84"/>
      <c r="S299" s="84"/>
    </row>
    <row r="300" spans="1:20">
      <c r="A300" s="11" t="s">
        <v>330</v>
      </c>
      <c r="B300" t="s">
        <v>40</v>
      </c>
      <c r="E300" s="12"/>
    </row>
    <row r="301" spans="1:20">
      <c r="A301" s="11" t="s">
        <v>331</v>
      </c>
      <c r="B301" t="s">
        <v>40</v>
      </c>
      <c r="E301" s="12"/>
    </row>
    <row r="302" spans="1:20">
      <c r="A302" s="11" t="s">
        <v>332</v>
      </c>
      <c r="B302" t="s">
        <v>40</v>
      </c>
      <c r="E302" s="12"/>
    </row>
    <row r="303" spans="1:20">
      <c r="A303" s="11" t="s">
        <v>333</v>
      </c>
      <c r="B303" t="s">
        <v>40</v>
      </c>
      <c r="E303" s="12"/>
      <c r="Q303" s="2"/>
    </row>
    <row r="304" spans="1:20">
      <c r="A304" s="11" t="s">
        <v>334</v>
      </c>
      <c r="B304" t="s">
        <v>49</v>
      </c>
      <c r="E304" s="12"/>
      <c r="Q304" s="124" t="str">
        <f>IF(C304="","",VLOOKUP(C304,snomed2,3,FALSE))</f>
        <v/>
      </c>
      <c r="T304" s="124" t="str">
        <f>IF(Q304="","",VLOOKUP(Q304,snomed,3,FALSE))</f>
        <v/>
      </c>
    </row>
    <row r="305" spans="1:22">
      <c r="A305" s="14" t="s">
        <v>335</v>
      </c>
      <c r="E305" s="12"/>
      <c r="Q305" s="121"/>
      <c r="T305" s="121"/>
    </row>
    <row r="306" spans="1:22">
      <c r="A306" s="11" t="s">
        <v>336</v>
      </c>
      <c r="B306" t="s">
        <v>337</v>
      </c>
      <c r="C306">
        <v>1</v>
      </c>
      <c r="E306" s="12"/>
      <c r="P306" s="149"/>
      <c r="Q306" s="121"/>
      <c r="T306" s="121"/>
    </row>
    <row r="307" spans="1:22">
      <c r="A307" s="11" t="s">
        <v>338</v>
      </c>
      <c r="C307" s="1" t="s">
        <v>339</v>
      </c>
      <c r="D307" s="1" t="s">
        <v>340</v>
      </c>
      <c r="E307" s="40" t="s">
        <v>341</v>
      </c>
      <c r="P307" s="1"/>
      <c r="Q307" s="121"/>
      <c r="T307" s="121"/>
    </row>
    <row r="308" spans="1:22">
      <c r="A308" s="11" t="s">
        <v>342</v>
      </c>
      <c r="B308" t="s">
        <v>40</v>
      </c>
      <c r="E308" s="12"/>
      <c r="Q308" s="121"/>
      <c r="T308" s="121"/>
    </row>
    <row r="309" spans="1:22">
      <c r="A309" s="11" t="s">
        <v>343</v>
      </c>
      <c r="B309" t="s">
        <v>49</v>
      </c>
      <c r="E309" s="12"/>
      <c r="Q309" s="122" t="str">
        <f>IF(C309="","",VLOOKUP(C309,snomed2,3,FALSE))</f>
        <v/>
      </c>
      <c r="R309" s="150" t="str">
        <f>IF(D309="","",VLOOKUP(D309,snomed2,3,FALSE))</f>
        <v/>
      </c>
      <c r="S309" s="124" t="str">
        <f>IF(E309="","",VLOOKUP(E309,snomed2,3,FALSE))</f>
        <v/>
      </c>
      <c r="T309" s="27" t="str">
        <f>IF(Q309="","",VLOOKUP(Q309,snomed,3,FALSE))</f>
        <v/>
      </c>
      <c r="U309" s="124" t="str">
        <f>IF(R309="","",VLOOKUP(R309,snomed,3,FALSE))</f>
        <v/>
      </c>
      <c r="V309" s="124" t="str">
        <f>IF(S309="","",VLOOKUP(S309,snomed,3,FALSE))</f>
        <v/>
      </c>
    </row>
    <row r="310" spans="1:22">
      <c r="A310" s="11" t="s">
        <v>344</v>
      </c>
      <c r="B310" t="s">
        <v>49</v>
      </c>
      <c r="E310" s="12"/>
      <c r="Q310" s="122" t="str">
        <f>IF(C310="","",VLOOKUP(C310,snomed2,3,FALSE))</f>
        <v/>
      </c>
      <c r="R310" s="151" t="str">
        <f>IF(D310="","",VLOOKUP(D310,snomed2,3,FALSE))</f>
        <v/>
      </c>
      <c r="S310" s="122" t="str">
        <f>IF(E310="","",VLOOKUP(E310,snomed2,3,FALSE))</f>
        <v/>
      </c>
      <c r="T310" s="27" t="str">
        <f>IF(Q310="","",VLOOKUP(Q310,snomed,3,FALSE))</f>
        <v/>
      </c>
      <c r="U310" s="122" t="str">
        <f>IF(R310="","",VLOOKUP(R310,snomed,3,FALSE))</f>
        <v/>
      </c>
      <c r="V310" s="122" t="str">
        <f>IF(S310="","",VLOOKUP(S310,snomed,3,FALSE))</f>
        <v/>
      </c>
    </row>
    <row r="311" spans="1:22">
      <c r="A311" s="11" t="s">
        <v>345</v>
      </c>
      <c r="B311" t="s">
        <v>49</v>
      </c>
      <c r="E311" s="12"/>
      <c r="Q311" s="122" t="str">
        <f>IF(C311="","",VLOOKUP(C311,snomed2,3,FALSE))</f>
        <v/>
      </c>
      <c r="R311" s="151" t="str">
        <f>IF(D311="","",VLOOKUP(D311,snomed2,3,FALSE))</f>
        <v/>
      </c>
      <c r="S311" s="122" t="str">
        <f>IF(E311="","",VLOOKUP(E311,snomed2,3,FALSE))</f>
        <v/>
      </c>
      <c r="T311" s="27" t="str">
        <f>IF(Q311="","",VLOOKUP(Q311,snomed,3,FALSE))</f>
        <v/>
      </c>
      <c r="U311" s="122" t="str">
        <f>IF(R311="","",VLOOKUP(R311,snomed,3,FALSE))</f>
        <v/>
      </c>
      <c r="V311" s="122" t="str">
        <f>IF(S311="","",VLOOKUP(S311,snomed,3,FALSE))</f>
        <v/>
      </c>
    </row>
    <row r="312" spans="1:22">
      <c r="A312" s="67" t="s">
        <v>346</v>
      </c>
      <c r="B312" t="s">
        <v>49</v>
      </c>
      <c r="E312" s="12"/>
      <c r="Q312" s="122" t="str">
        <f>IF(C312="","",VLOOKUP(C312,snomed2,3,FALSE))</f>
        <v/>
      </c>
      <c r="R312" s="151" t="str">
        <f>IF(D312="","",VLOOKUP(D312,snomed2,3,FALSE))</f>
        <v/>
      </c>
      <c r="S312" s="122" t="str">
        <f>IF(E312="","",VLOOKUP(E312,snomed2,3,FALSE))</f>
        <v/>
      </c>
      <c r="T312" s="27" t="str">
        <f>IF(Q312="","",VLOOKUP(Q312,snomed,3,FALSE))</f>
        <v/>
      </c>
      <c r="U312" s="122" t="str">
        <f>IF(R312="","",VLOOKUP(R312,snomed,3,FALSE))</f>
        <v/>
      </c>
      <c r="V312" s="122" t="str">
        <f>IF(S312="","",VLOOKUP(S312,snomed,3,FALSE))</f>
        <v/>
      </c>
    </row>
    <row r="313" spans="1:22">
      <c r="A313" s="67" t="s">
        <v>347</v>
      </c>
      <c r="B313" t="s">
        <v>49</v>
      </c>
      <c r="E313" s="12"/>
      <c r="Q313" s="122" t="str">
        <f>IF(C313="","",VLOOKUP(C313,snomed2,3,FALSE))</f>
        <v/>
      </c>
      <c r="R313" s="151" t="str">
        <f>IF(D313="","",VLOOKUP(D313,snomed2,3,FALSE))</f>
        <v/>
      </c>
      <c r="S313" s="122" t="str">
        <f>IF(E313="","",VLOOKUP(E313,snomed2,3,FALSE))</f>
        <v/>
      </c>
      <c r="T313" s="27" t="str">
        <f>IF(Q313="","",VLOOKUP(Q313,snomed,3,FALSE))</f>
        <v/>
      </c>
      <c r="U313" s="122" t="str">
        <f>IF(R313="","",VLOOKUP(R313,snomed,3,FALSE))</f>
        <v/>
      </c>
      <c r="V313" s="122" t="str">
        <f>IF(S313="","",VLOOKUP(S313,snomed,3,FALSE))</f>
        <v/>
      </c>
    </row>
    <row r="314" spans="1:22">
      <c r="A314" s="67" t="s">
        <v>348</v>
      </c>
      <c r="B314" t="s">
        <v>43</v>
      </c>
      <c r="E314" s="12"/>
      <c r="Q314" s="121"/>
      <c r="R314" s="152"/>
      <c r="S314" s="121"/>
      <c r="T314" s="2"/>
      <c r="U314" s="121"/>
      <c r="V314" s="121"/>
    </row>
    <row r="315" spans="1:22">
      <c r="A315" s="67" t="s">
        <v>349</v>
      </c>
      <c r="B315" t="s">
        <v>43</v>
      </c>
      <c r="C315" s="96" t="str">
        <f>IF(LEFT($E285,2)&lt;25,"",IF(C314="","",(C314/VLOOKUP($E285,marsal,3,FALSE))-1))</f>
        <v/>
      </c>
      <c r="D315" s="96" t="str">
        <f>IF(LEFT($E285,2)&lt;25,"",IF(D314="","",(D314/VLOOKUP($E285,marsal,3,FALSE))-1))</f>
        <v/>
      </c>
      <c r="E315" s="140" t="str">
        <f>IF(LEFT($E285,2)&lt;25,"",IF(E314="","",(E314/VLOOKUP($E285,marsal,3,FALSE))-1))</f>
        <v/>
      </c>
      <c r="Q315" s="121"/>
      <c r="R315" s="152"/>
      <c r="S315" s="121"/>
      <c r="T315" s="2"/>
      <c r="U315" s="121"/>
      <c r="V315" s="121"/>
    </row>
    <row r="316" spans="1:22">
      <c r="A316" s="67" t="s">
        <v>350</v>
      </c>
      <c r="B316" t="s">
        <v>49</v>
      </c>
      <c r="E316" s="12"/>
      <c r="Q316" s="122" t="str">
        <f>IF(C316="","",VLOOKUP(C316,fostervand_snom,2,FALSE))</f>
        <v/>
      </c>
      <c r="R316" s="122" t="str">
        <f>IF(D316="","",VLOOKUP(D316,fostervand_snom,2,FALSE))</f>
        <v/>
      </c>
      <c r="S316" s="122" t="str">
        <f>IF(E316="","",VLOOKUP(E316,fostervand_snom,2,FALSE))</f>
        <v/>
      </c>
      <c r="T316" s="27" t="str">
        <f>IF(Q316="","",VLOOKUP(Q316,snomed,3,FALSE))</f>
        <v/>
      </c>
      <c r="U316" s="122" t="str">
        <f>IF(R316="","",VLOOKUP(R316,snomed,3,FALSE))</f>
        <v/>
      </c>
      <c r="V316" s="122" t="str">
        <f>IF(S316="","",VLOOKUP(S316,snomed,3,FALSE))</f>
        <v/>
      </c>
    </row>
    <row r="317" spans="1:22">
      <c r="A317" s="68" t="s">
        <v>352</v>
      </c>
      <c r="B317" s="15" t="s">
        <v>40</v>
      </c>
      <c r="C317" s="15"/>
      <c r="D317" s="15"/>
      <c r="E317" s="16"/>
      <c r="Q317" s="123"/>
      <c r="R317" s="153"/>
      <c r="S317" s="123"/>
      <c r="T317" s="156"/>
      <c r="U317" s="123"/>
      <c r="V317" s="123"/>
    </row>
    <row r="318" spans="1:22">
      <c r="Q318" s="2"/>
    </row>
    <row r="319" spans="1:22">
      <c r="A319" s="9" t="s">
        <v>361</v>
      </c>
      <c r="B319" s="10"/>
      <c r="C319" s="34" t="s">
        <v>27</v>
      </c>
      <c r="D319" s="39" t="s">
        <v>186</v>
      </c>
      <c r="E319" s="32" t="s">
        <v>29</v>
      </c>
    </row>
    <row r="320" spans="1:22">
      <c r="A320" s="11" t="s">
        <v>312</v>
      </c>
      <c r="B320" s="24" t="str">
        <f>IF(C320="","",VLOOKUP(C320,AftalerDatoer!$C$3:$G$26,4,FALSE))</f>
        <v/>
      </c>
      <c r="C320" s="20"/>
      <c r="D320" s="19" t="str">
        <f>IF(C320="","",VLOOKUP(C320,AftalerDatoer!$C$3:$E$26,2,FALSE))</f>
        <v/>
      </c>
      <c r="E320" s="12" t="str" cm="1">
        <f t="array" ref="E320">_xlfn.IFS(C320="","",VLOOKUP(C320,AftalerDatoer!$C$3:$H$26,4,FALSE)="SM",VLOOKUP(C320,AftalerDatoer!$C$3:$H$26,3,FALSE),VLOOKUP(C320,AftalerDatoer!$C$3:$H$26,4,FALSE)="UL",VLOOKUP(C320,AftalerDatoer!$C$3:$H$26,5,FALSE))</f>
        <v/>
      </c>
    </row>
    <row r="321" spans="1:19">
      <c r="A321" s="11" t="s">
        <v>72</v>
      </c>
      <c r="B321" t="s">
        <v>40</v>
      </c>
      <c r="E321" s="12"/>
    </row>
    <row r="322" spans="1:19">
      <c r="A322" s="11" t="s">
        <v>313</v>
      </c>
      <c r="B322" t="s">
        <v>70</v>
      </c>
      <c r="E322" s="12"/>
    </row>
    <row r="323" spans="1:19">
      <c r="A323" s="11" t="s">
        <v>314</v>
      </c>
      <c r="B323" t="s">
        <v>70</v>
      </c>
      <c r="E323" s="12"/>
    </row>
    <row r="324" spans="1:19">
      <c r="A324" s="11" t="s">
        <v>315</v>
      </c>
      <c r="B324" t="s">
        <v>316</v>
      </c>
      <c r="E324" s="12"/>
    </row>
    <row r="325" spans="1:19">
      <c r="A325" s="11" t="s">
        <v>44</v>
      </c>
      <c r="B325" t="s">
        <v>317</v>
      </c>
      <c r="E325" s="12"/>
    </row>
    <row r="326" spans="1:19">
      <c r="A326" s="11" t="s">
        <v>45</v>
      </c>
      <c r="B326" t="s">
        <v>318</v>
      </c>
      <c r="C326" s="13" t="str">
        <f t="shared" si="4"/>
        <v/>
      </c>
      <c r="E326" s="40" t="s">
        <v>319</v>
      </c>
    </row>
    <row r="327" spans="1:19">
      <c r="A327" s="11" t="s">
        <v>320</v>
      </c>
      <c r="B327" t="s">
        <v>40</v>
      </c>
      <c r="E327" s="166"/>
    </row>
    <row r="328" spans="1:19">
      <c r="A328" s="11" t="s">
        <v>321</v>
      </c>
      <c r="B328" t="s">
        <v>40</v>
      </c>
      <c r="E328" s="166"/>
    </row>
    <row r="329" spans="1:19">
      <c r="A329" s="11" t="s">
        <v>322</v>
      </c>
      <c r="B329" t="s">
        <v>70</v>
      </c>
      <c r="E329" s="166"/>
    </row>
    <row r="330" spans="1:19">
      <c r="A330" s="67" t="s">
        <v>323</v>
      </c>
      <c r="B330" t="s">
        <v>40</v>
      </c>
      <c r="E330" s="166"/>
    </row>
    <row r="331" spans="1:19">
      <c r="A331" s="67" t="s">
        <v>324</v>
      </c>
      <c r="B331" t="s">
        <v>325</v>
      </c>
      <c r="E331" s="166"/>
    </row>
    <row r="332" spans="1:19">
      <c r="A332" s="67" t="s">
        <v>326</v>
      </c>
      <c r="B332" t="s">
        <v>327</v>
      </c>
      <c r="E332" s="166"/>
    </row>
    <row r="333" spans="1:19">
      <c r="A333" s="14" t="s">
        <v>328</v>
      </c>
      <c r="E333" s="12"/>
    </row>
    <row r="334" spans="1:19">
      <c r="A334" s="11" t="s">
        <v>329</v>
      </c>
      <c r="B334" t="s">
        <v>40</v>
      </c>
      <c r="E334" s="12"/>
      <c r="R334" s="84"/>
      <c r="S334" s="84"/>
    </row>
    <row r="335" spans="1:19">
      <c r="A335" s="11" t="s">
        <v>330</v>
      </c>
      <c r="B335" t="s">
        <v>40</v>
      </c>
      <c r="E335" s="12"/>
    </row>
    <row r="336" spans="1:19">
      <c r="A336" s="11" t="s">
        <v>331</v>
      </c>
      <c r="B336" t="s">
        <v>40</v>
      </c>
      <c r="E336" s="12"/>
    </row>
    <row r="337" spans="1:22">
      <c r="A337" s="11" t="s">
        <v>332</v>
      </c>
      <c r="B337" t="s">
        <v>40</v>
      </c>
      <c r="E337" s="12"/>
    </row>
    <row r="338" spans="1:22">
      <c r="A338" s="11" t="s">
        <v>333</v>
      </c>
      <c r="B338" t="s">
        <v>40</v>
      </c>
      <c r="E338" s="12"/>
      <c r="Q338" s="2"/>
    </row>
    <row r="339" spans="1:22">
      <c r="A339" s="11" t="s">
        <v>334</v>
      </c>
      <c r="B339" t="s">
        <v>49</v>
      </c>
      <c r="E339" s="12"/>
      <c r="Q339" s="124" t="str">
        <f>IF(C339="","",VLOOKUP(C339,snomed2,3,FALSE))</f>
        <v/>
      </c>
      <c r="T339" s="124" t="str">
        <f>IF(Q339="","",VLOOKUP(Q339,snomed,3,FALSE))</f>
        <v/>
      </c>
    </row>
    <row r="340" spans="1:22">
      <c r="A340" s="14" t="s">
        <v>335</v>
      </c>
      <c r="E340" s="12"/>
      <c r="Q340" s="121"/>
      <c r="T340" s="121"/>
    </row>
    <row r="341" spans="1:22">
      <c r="A341" s="11" t="s">
        <v>336</v>
      </c>
      <c r="B341" t="s">
        <v>337</v>
      </c>
      <c r="E341" s="12"/>
      <c r="P341" s="149"/>
      <c r="Q341" s="121"/>
      <c r="T341" s="121"/>
    </row>
    <row r="342" spans="1:22">
      <c r="A342" s="11" t="s">
        <v>338</v>
      </c>
      <c r="C342" s="1" t="s">
        <v>339</v>
      </c>
      <c r="D342" s="1" t="s">
        <v>340</v>
      </c>
      <c r="E342" s="40" t="s">
        <v>341</v>
      </c>
      <c r="P342" s="1"/>
      <c r="Q342" s="121"/>
      <c r="T342" s="121"/>
    </row>
    <row r="343" spans="1:22">
      <c r="A343" s="11" t="s">
        <v>342</v>
      </c>
      <c r="B343" t="s">
        <v>40</v>
      </c>
      <c r="E343" s="12"/>
      <c r="Q343" s="121"/>
      <c r="T343" s="121"/>
    </row>
    <row r="344" spans="1:22">
      <c r="A344" s="11" t="s">
        <v>343</v>
      </c>
      <c r="B344" t="s">
        <v>49</v>
      </c>
      <c r="E344" s="12"/>
      <c r="Q344" s="122" t="str">
        <f>IF(C344="","",VLOOKUP(C344,snomed2,3,FALSE))</f>
        <v/>
      </c>
      <c r="R344" s="150" t="str">
        <f>IF(D344="","",VLOOKUP(D344,snomed2,3,FALSE))</f>
        <v/>
      </c>
      <c r="S344" s="124" t="str">
        <f>IF(E344="","",VLOOKUP(E344,snomed2,3,FALSE))</f>
        <v/>
      </c>
      <c r="T344" s="27" t="str">
        <f>IF(Q344="","",VLOOKUP(Q344,snomed,3,FALSE))</f>
        <v/>
      </c>
      <c r="U344" s="124" t="str">
        <f>IF(R344="","",VLOOKUP(R344,snomed,3,FALSE))</f>
        <v/>
      </c>
      <c r="V344" s="124" t="str">
        <f>IF(S344="","",VLOOKUP(S344,snomed,3,FALSE))</f>
        <v/>
      </c>
    </row>
    <row r="345" spans="1:22">
      <c r="A345" s="11" t="s">
        <v>344</v>
      </c>
      <c r="B345" t="s">
        <v>49</v>
      </c>
      <c r="E345" s="12"/>
      <c r="Q345" s="122" t="str">
        <f>IF(C345="","",VLOOKUP(C345,snomed2,3,FALSE))</f>
        <v/>
      </c>
      <c r="R345" s="151" t="str">
        <f>IF(D345="","",VLOOKUP(D345,snomed2,3,FALSE))</f>
        <v/>
      </c>
      <c r="S345" s="122" t="str">
        <f>IF(E345="","",VLOOKUP(E345,snomed2,3,FALSE))</f>
        <v/>
      </c>
      <c r="T345" s="27" t="str">
        <f>IF(Q345="","",VLOOKUP(Q345,snomed,3,FALSE))</f>
        <v/>
      </c>
      <c r="U345" s="122" t="str">
        <f>IF(R345="","",VLOOKUP(R345,snomed,3,FALSE))</f>
        <v/>
      </c>
      <c r="V345" s="122" t="str">
        <f>IF(S345="","",VLOOKUP(S345,snomed,3,FALSE))</f>
        <v/>
      </c>
    </row>
    <row r="346" spans="1:22">
      <c r="A346" s="11" t="s">
        <v>345</v>
      </c>
      <c r="B346" t="s">
        <v>49</v>
      </c>
      <c r="E346" s="12"/>
      <c r="Q346" s="122" t="str">
        <f>IF(C346="","",VLOOKUP(C346,snomed2,3,FALSE))</f>
        <v/>
      </c>
      <c r="R346" s="151" t="str">
        <f>IF(D346="","",VLOOKUP(D346,snomed2,3,FALSE))</f>
        <v/>
      </c>
      <c r="S346" s="122" t="str">
        <f>IF(E346="","",VLOOKUP(E346,snomed2,3,FALSE))</f>
        <v/>
      </c>
      <c r="T346" s="27" t="str">
        <f>IF(Q346="","",VLOOKUP(Q346,snomed,3,FALSE))</f>
        <v/>
      </c>
      <c r="U346" s="122" t="str">
        <f>IF(R346="","",VLOOKUP(R346,snomed,3,FALSE))</f>
        <v/>
      </c>
      <c r="V346" s="122" t="str">
        <f>IF(S346="","",VLOOKUP(S346,snomed,3,FALSE))</f>
        <v/>
      </c>
    </row>
    <row r="347" spans="1:22">
      <c r="A347" s="67" t="s">
        <v>346</v>
      </c>
      <c r="B347" t="s">
        <v>49</v>
      </c>
      <c r="E347" s="12"/>
      <c r="Q347" s="122" t="str">
        <f>IF(C347="","",VLOOKUP(C347,snomed2,3,FALSE))</f>
        <v/>
      </c>
      <c r="R347" s="151" t="str">
        <f>IF(D347="","",VLOOKUP(D347,snomed2,3,FALSE))</f>
        <v/>
      </c>
      <c r="S347" s="122" t="str">
        <f>IF(E347="","",VLOOKUP(E347,snomed2,3,FALSE))</f>
        <v/>
      </c>
      <c r="T347" s="27" t="str">
        <f>IF(Q347="","",VLOOKUP(Q347,snomed,3,FALSE))</f>
        <v/>
      </c>
      <c r="U347" s="122" t="str">
        <f>IF(R347="","",VLOOKUP(R347,snomed,3,FALSE))</f>
        <v/>
      </c>
      <c r="V347" s="122" t="str">
        <f>IF(S347="","",VLOOKUP(S347,snomed,3,FALSE))</f>
        <v/>
      </c>
    </row>
    <row r="348" spans="1:22">
      <c r="A348" s="67" t="s">
        <v>347</v>
      </c>
      <c r="B348" t="s">
        <v>49</v>
      </c>
      <c r="E348" s="12"/>
      <c r="Q348" s="122" t="str">
        <f>IF(C348="","",VLOOKUP(C348,snomed2,3,FALSE))</f>
        <v/>
      </c>
      <c r="R348" s="151" t="str">
        <f>IF(D348="","",VLOOKUP(D348,snomed2,3,FALSE))</f>
        <v/>
      </c>
      <c r="S348" s="122" t="str">
        <f>IF(E348="","",VLOOKUP(E348,snomed2,3,FALSE))</f>
        <v/>
      </c>
      <c r="T348" s="27" t="str">
        <f>IF(Q348="","",VLOOKUP(Q348,snomed,3,FALSE))</f>
        <v/>
      </c>
      <c r="U348" s="122" t="str">
        <f>IF(R348="","",VLOOKUP(R348,snomed,3,FALSE))</f>
        <v/>
      </c>
      <c r="V348" s="122" t="str">
        <f>IF(S348="","",VLOOKUP(S348,snomed,3,FALSE))</f>
        <v/>
      </c>
    </row>
    <row r="349" spans="1:22">
      <c r="A349" s="67" t="s">
        <v>348</v>
      </c>
      <c r="B349" t="s">
        <v>43</v>
      </c>
      <c r="E349" s="12"/>
      <c r="Q349" s="121"/>
      <c r="R349" s="152"/>
      <c r="S349" s="121"/>
      <c r="T349" s="2"/>
      <c r="U349" s="121"/>
      <c r="V349" s="121"/>
    </row>
    <row r="350" spans="1:22">
      <c r="A350" s="67" t="s">
        <v>349</v>
      </c>
      <c r="B350" t="s">
        <v>43</v>
      </c>
      <c r="C350" s="96" t="str">
        <f>IF(LEFT($E320,2)&lt;25,"",IF(C349="","",(C349/VLOOKUP($E320,marsal,3,FALSE))-1))</f>
        <v/>
      </c>
      <c r="D350" s="96" t="str">
        <f>IF(LEFT($E320,2)&lt;25,"",IF(D349="","",(D349/VLOOKUP($E320,marsal,3,FALSE))-1))</f>
        <v/>
      </c>
      <c r="E350" s="140" t="str">
        <f>IF(LEFT($E320,2)&lt;25,"",IF(E349="","",(E349/VLOOKUP($E320,marsal,3,FALSE))-1))</f>
        <v/>
      </c>
      <c r="Q350" s="121"/>
      <c r="R350" s="152"/>
      <c r="S350" s="121"/>
      <c r="T350" s="2"/>
      <c r="U350" s="121"/>
      <c r="V350" s="121"/>
    </row>
    <row r="351" spans="1:22">
      <c r="A351" s="67" t="s">
        <v>350</v>
      </c>
      <c r="B351" t="s">
        <v>49</v>
      </c>
      <c r="E351" s="12"/>
      <c r="Q351" s="122" t="str">
        <f>IF(C351="","",VLOOKUP(C351,fostervand_snom,2,FALSE))</f>
        <v/>
      </c>
      <c r="R351" s="122" t="str">
        <f>IF(D351="","",VLOOKUP(D351,fostervand_snom,2,FALSE))</f>
        <v/>
      </c>
      <c r="S351" s="122" t="str">
        <f>IF(E351="","",VLOOKUP(E351,fostervand_snom,2,FALSE))</f>
        <v/>
      </c>
      <c r="T351" s="27" t="str">
        <f>IF(Q351="","",VLOOKUP(Q351,snomed,3,FALSE))</f>
        <v/>
      </c>
      <c r="U351" s="122" t="str">
        <f>IF(R351="","",VLOOKUP(R351,snomed,3,FALSE))</f>
        <v/>
      </c>
      <c r="V351" s="122" t="str">
        <f>IF(S351="","",VLOOKUP(S351,snomed,3,FALSE))</f>
        <v/>
      </c>
    </row>
    <row r="352" spans="1:22">
      <c r="A352" s="68" t="s">
        <v>352</v>
      </c>
      <c r="B352" s="15" t="s">
        <v>40</v>
      </c>
      <c r="C352" s="15"/>
      <c r="D352" s="15"/>
      <c r="E352" s="16"/>
      <c r="Q352" s="123"/>
      <c r="R352" s="153"/>
      <c r="S352" s="123"/>
      <c r="T352" s="156"/>
      <c r="U352" s="123"/>
      <c r="V352" s="123"/>
    </row>
    <row r="353" spans="1:17">
      <c r="Q353" s="2"/>
    </row>
    <row r="354" spans="1:17">
      <c r="A354" s="9" t="s">
        <v>362</v>
      </c>
      <c r="B354" s="10"/>
      <c r="C354" s="34" t="s">
        <v>27</v>
      </c>
      <c r="D354" s="39" t="s">
        <v>186</v>
      </c>
      <c r="E354" s="32" t="s">
        <v>29</v>
      </c>
    </row>
    <row r="355" spans="1:17">
      <c r="A355" s="11" t="s">
        <v>312</v>
      </c>
      <c r="B355" s="24" t="str">
        <f>IF(C355="","",VLOOKUP(C355,AftalerDatoer!$C$3:$G$26,4,FALSE))</f>
        <v/>
      </c>
      <c r="C355" s="20"/>
      <c r="D355" s="19" t="str">
        <f>IF(C355="","",VLOOKUP(C355,AftalerDatoer!$C$3:$E$26,2,FALSE))</f>
        <v/>
      </c>
      <c r="E355" s="12" t="str" cm="1">
        <f t="array" ref="E355">_xlfn.IFS(C355="","",VLOOKUP(C355,AftalerDatoer!$C$3:$H$26,4,FALSE)="SM",VLOOKUP(C355,AftalerDatoer!$C$3:$H$26,3,FALSE),VLOOKUP(C355,AftalerDatoer!$C$3:$H$26,4,FALSE)="UL",VLOOKUP(C355,AftalerDatoer!$C$3:$H$26,5,FALSE))</f>
        <v/>
      </c>
    </row>
    <row r="356" spans="1:17">
      <c r="A356" s="11" t="s">
        <v>72</v>
      </c>
      <c r="B356" t="s">
        <v>40</v>
      </c>
      <c r="E356" s="12"/>
    </row>
    <row r="357" spans="1:17">
      <c r="A357" s="11" t="s">
        <v>313</v>
      </c>
      <c r="B357" t="s">
        <v>70</v>
      </c>
      <c r="E357" s="12"/>
    </row>
    <row r="358" spans="1:17">
      <c r="A358" s="11" t="s">
        <v>314</v>
      </c>
      <c r="B358" t="s">
        <v>70</v>
      </c>
      <c r="E358" s="12"/>
    </row>
    <row r="359" spans="1:17">
      <c r="A359" s="11" t="s">
        <v>315</v>
      </c>
      <c r="B359" t="s">
        <v>316</v>
      </c>
      <c r="E359" s="12"/>
    </row>
    <row r="360" spans="1:17">
      <c r="A360" s="11" t="s">
        <v>44</v>
      </c>
      <c r="B360" t="s">
        <v>317</v>
      </c>
      <c r="E360" s="12"/>
    </row>
    <row r="361" spans="1:17">
      <c r="A361" s="11" t="s">
        <v>45</v>
      </c>
      <c r="B361" t="s">
        <v>318</v>
      </c>
      <c r="C361" s="13" t="str">
        <f t="shared" ref="C361" si="5">IF(C360="","",C359/((C360/100)^2))</f>
        <v/>
      </c>
      <c r="E361" s="40" t="s">
        <v>319</v>
      </c>
    </row>
    <row r="362" spans="1:17">
      <c r="A362" s="11" t="s">
        <v>320</v>
      </c>
      <c r="B362" t="s">
        <v>40</v>
      </c>
      <c r="E362" s="166"/>
    </row>
    <row r="363" spans="1:17">
      <c r="A363" s="11" t="s">
        <v>321</v>
      </c>
      <c r="B363" t="s">
        <v>40</v>
      </c>
      <c r="E363" s="166"/>
    </row>
    <row r="364" spans="1:17">
      <c r="A364" s="11" t="s">
        <v>322</v>
      </c>
      <c r="B364" t="s">
        <v>70</v>
      </c>
      <c r="E364" s="166"/>
    </row>
    <row r="365" spans="1:17">
      <c r="A365" s="67" t="s">
        <v>323</v>
      </c>
      <c r="B365" t="s">
        <v>40</v>
      </c>
      <c r="E365" s="166"/>
    </row>
    <row r="366" spans="1:17">
      <c r="A366" s="67" t="s">
        <v>324</v>
      </c>
      <c r="B366" t="s">
        <v>325</v>
      </c>
      <c r="E366" s="166"/>
    </row>
    <row r="367" spans="1:17">
      <c r="A367" s="67" t="s">
        <v>326</v>
      </c>
      <c r="B367" t="s">
        <v>327</v>
      </c>
      <c r="E367" s="166"/>
    </row>
    <row r="368" spans="1:17">
      <c r="A368" s="14" t="s">
        <v>328</v>
      </c>
      <c r="E368" s="12"/>
    </row>
    <row r="369" spans="1:22">
      <c r="A369" s="11" t="s">
        <v>329</v>
      </c>
      <c r="B369" t="s">
        <v>40</v>
      </c>
      <c r="E369" s="12"/>
      <c r="R369" s="84"/>
      <c r="S369" s="84"/>
    </row>
    <row r="370" spans="1:22">
      <c r="A370" s="11" t="s">
        <v>330</v>
      </c>
      <c r="B370" t="s">
        <v>40</v>
      </c>
      <c r="E370" s="12"/>
    </row>
    <row r="371" spans="1:22">
      <c r="A371" s="11" t="s">
        <v>331</v>
      </c>
      <c r="B371" t="s">
        <v>40</v>
      </c>
      <c r="E371" s="12"/>
    </row>
    <row r="372" spans="1:22">
      <c r="A372" s="11" t="s">
        <v>332</v>
      </c>
      <c r="B372" t="s">
        <v>40</v>
      </c>
      <c r="E372" s="12"/>
    </row>
    <row r="373" spans="1:22">
      <c r="A373" s="11" t="s">
        <v>333</v>
      </c>
      <c r="B373" t="s">
        <v>40</v>
      </c>
      <c r="E373" s="12"/>
      <c r="Q373" s="2"/>
    </row>
    <row r="374" spans="1:22">
      <c r="A374" s="11" t="s">
        <v>334</v>
      </c>
      <c r="B374" t="s">
        <v>49</v>
      </c>
      <c r="E374" s="12"/>
      <c r="Q374" s="124" t="str">
        <f>IF(C374="","",VLOOKUP(C374,snomed2,3,FALSE))</f>
        <v/>
      </c>
      <c r="T374" s="124" t="str">
        <f>IF(Q374="","",VLOOKUP(Q374,snomed,3,FALSE))</f>
        <v/>
      </c>
    </row>
    <row r="375" spans="1:22">
      <c r="A375" s="14" t="s">
        <v>335</v>
      </c>
      <c r="E375" s="12"/>
      <c r="Q375" s="121"/>
      <c r="T375" s="121"/>
    </row>
    <row r="376" spans="1:22">
      <c r="A376" s="11" t="s">
        <v>336</v>
      </c>
      <c r="B376" t="s">
        <v>337</v>
      </c>
      <c r="E376" s="12"/>
      <c r="P376" s="149"/>
      <c r="Q376" s="121"/>
      <c r="T376" s="121"/>
    </row>
    <row r="377" spans="1:22">
      <c r="A377" s="11" t="s">
        <v>338</v>
      </c>
      <c r="C377" s="1" t="s">
        <v>339</v>
      </c>
      <c r="D377" s="1" t="s">
        <v>340</v>
      </c>
      <c r="E377" s="40" t="s">
        <v>341</v>
      </c>
      <c r="P377" s="1"/>
      <c r="Q377" s="121"/>
      <c r="T377" s="121"/>
    </row>
    <row r="378" spans="1:22">
      <c r="A378" s="11" t="s">
        <v>342</v>
      </c>
      <c r="B378" t="s">
        <v>40</v>
      </c>
      <c r="E378" s="12"/>
      <c r="Q378" s="121"/>
      <c r="T378" s="121"/>
    </row>
    <row r="379" spans="1:22">
      <c r="A379" s="11" t="s">
        <v>343</v>
      </c>
      <c r="B379" t="s">
        <v>49</v>
      </c>
      <c r="E379" s="12"/>
      <c r="Q379" s="122" t="str">
        <f>IF(C379="","",VLOOKUP(C379,snomed2,3,FALSE))</f>
        <v/>
      </c>
      <c r="R379" s="150" t="str">
        <f>IF(D379="","",VLOOKUP(D379,snomed2,3,FALSE))</f>
        <v/>
      </c>
      <c r="S379" s="124" t="str">
        <f>IF(E379="","",VLOOKUP(E379,snomed2,3,FALSE))</f>
        <v/>
      </c>
      <c r="T379" s="27" t="str">
        <f>IF(Q379="","",VLOOKUP(Q379,snomed,3,FALSE))</f>
        <v/>
      </c>
      <c r="U379" s="124" t="str">
        <f>IF(R379="","",VLOOKUP(R379,snomed,3,FALSE))</f>
        <v/>
      </c>
      <c r="V379" s="124" t="str">
        <f>IF(S379="","",VLOOKUP(S379,snomed,3,FALSE))</f>
        <v/>
      </c>
    </row>
    <row r="380" spans="1:22">
      <c r="A380" s="11" t="s">
        <v>344</v>
      </c>
      <c r="B380" t="s">
        <v>49</v>
      </c>
      <c r="E380" s="12"/>
      <c r="Q380" s="122" t="str">
        <f>IF(C380="","",VLOOKUP(C380,snomed2,3,FALSE))</f>
        <v/>
      </c>
      <c r="R380" s="151" t="str">
        <f>IF(D380="","",VLOOKUP(D380,snomed2,3,FALSE))</f>
        <v/>
      </c>
      <c r="S380" s="122" t="str">
        <f>IF(E380="","",VLOOKUP(E380,snomed2,3,FALSE))</f>
        <v/>
      </c>
      <c r="T380" s="27" t="str">
        <f>IF(Q380="","",VLOOKUP(Q380,snomed,3,FALSE))</f>
        <v/>
      </c>
      <c r="U380" s="122" t="str">
        <f>IF(R380="","",VLOOKUP(R380,snomed,3,FALSE))</f>
        <v/>
      </c>
      <c r="V380" s="122" t="str">
        <f>IF(S380="","",VLOOKUP(S380,snomed,3,FALSE))</f>
        <v/>
      </c>
    </row>
    <row r="381" spans="1:22">
      <c r="A381" s="11" t="s">
        <v>345</v>
      </c>
      <c r="B381" t="s">
        <v>49</v>
      </c>
      <c r="E381" s="12"/>
      <c r="Q381" s="122" t="str">
        <f>IF(C381="","",VLOOKUP(C381,snomed2,3,FALSE))</f>
        <v/>
      </c>
      <c r="R381" s="151" t="str">
        <f>IF(D381="","",VLOOKUP(D381,snomed2,3,FALSE))</f>
        <v/>
      </c>
      <c r="S381" s="122" t="str">
        <f>IF(E381="","",VLOOKUP(E381,snomed2,3,FALSE))</f>
        <v/>
      </c>
      <c r="T381" s="27" t="str">
        <f>IF(Q381="","",VLOOKUP(Q381,snomed,3,FALSE))</f>
        <v/>
      </c>
      <c r="U381" s="122" t="str">
        <f>IF(R381="","",VLOOKUP(R381,snomed,3,FALSE))</f>
        <v/>
      </c>
      <c r="V381" s="122" t="str">
        <f>IF(S381="","",VLOOKUP(S381,snomed,3,FALSE))</f>
        <v/>
      </c>
    </row>
    <row r="382" spans="1:22">
      <c r="A382" s="67" t="s">
        <v>346</v>
      </c>
      <c r="B382" t="s">
        <v>49</v>
      </c>
      <c r="E382" s="12"/>
      <c r="Q382" s="122" t="str">
        <f>IF(C382="","",VLOOKUP(C382,snomed2,3,FALSE))</f>
        <v/>
      </c>
      <c r="R382" s="151" t="str">
        <f>IF(D382="","",VLOOKUP(D382,snomed2,3,FALSE))</f>
        <v/>
      </c>
      <c r="S382" s="122" t="str">
        <f>IF(E382="","",VLOOKUP(E382,snomed2,3,FALSE))</f>
        <v/>
      </c>
      <c r="T382" s="27" t="str">
        <f>IF(Q382="","",VLOOKUP(Q382,snomed,3,FALSE))</f>
        <v/>
      </c>
      <c r="U382" s="122" t="str">
        <f>IF(R382="","",VLOOKUP(R382,snomed,3,FALSE))</f>
        <v/>
      </c>
      <c r="V382" s="122" t="str">
        <f>IF(S382="","",VLOOKUP(S382,snomed,3,FALSE))</f>
        <v/>
      </c>
    </row>
    <row r="383" spans="1:22">
      <c r="A383" s="67" t="s">
        <v>347</v>
      </c>
      <c r="B383" t="s">
        <v>49</v>
      </c>
      <c r="E383" s="12"/>
      <c r="Q383" s="122" t="str">
        <f>IF(C383="","",VLOOKUP(C383,snomed2,3,FALSE))</f>
        <v/>
      </c>
      <c r="R383" s="151" t="str">
        <f>IF(D383="","",VLOOKUP(D383,snomed2,3,FALSE))</f>
        <v/>
      </c>
      <c r="S383" s="122" t="str">
        <f>IF(E383="","",VLOOKUP(E383,snomed2,3,FALSE))</f>
        <v/>
      </c>
      <c r="T383" s="27" t="str">
        <f>IF(Q383="","",VLOOKUP(Q383,snomed,3,FALSE))</f>
        <v/>
      </c>
      <c r="U383" s="122" t="str">
        <f>IF(R383="","",VLOOKUP(R383,snomed,3,FALSE))</f>
        <v/>
      </c>
      <c r="V383" s="122" t="str">
        <f>IF(S383="","",VLOOKUP(S383,snomed,3,FALSE))</f>
        <v/>
      </c>
    </row>
    <row r="384" spans="1:22">
      <c r="A384" s="67" t="s">
        <v>348</v>
      </c>
      <c r="B384" t="s">
        <v>43</v>
      </c>
      <c r="E384" s="12"/>
      <c r="Q384" s="121"/>
      <c r="R384" s="152"/>
      <c r="S384" s="121"/>
      <c r="T384" s="2"/>
      <c r="U384" s="121"/>
      <c r="V384" s="121"/>
    </row>
    <row r="385" spans="1:22">
      <c r="A385" s="67" t="s">
        <v>349</v>
      </c>
      <c r="B385" t="s">
        <v>43</v>
      </c>
      <c r="C385" s="96" t="str">
        <f>IF(LEFT($E355,2)&lt;25,"",IF(C384="","",(C384/VLOOKUP($E355,marsal,3,FALSE))-1))</f>
        <v/>
      </c>
      <c r="D385" s="96" t="str">
        <f>IF(LEFT($E355,2)&lt;25,"",IF(D384="","",(D384/VLOOKUP($E355,marsal,3,FALSE))-1))</f>
        <v/>
      </c>
      <c r="E385" s="140" t="str">
        <f>IF(LEFT($E355,2)&lt;25,"",IF(E384="","",(E384/VLOOKUP($E355,marsal,3,FALSE))-1))</f>
        <v/>
      </c>
      <c r="Q385" s="121"/>
      <c r="R385" s="152"/>
      <c r="S385" s="121"/>
      <c r="T385" s="2"/>
      <c r="U385" s="121"/>
      <c r="V385" s="121"/>
    </row>
    <row r="386" spans="1:22">
      <c r="A386" s="67" t="s">
        <v>350</v>
      </c>
      <c r="B386" t="s">
        <v>49</v>
      </c>
      <c r="E386" s="12"/>
      <c r="Q386" s="122" t="str">
        <f>IF(C386="","",VLOOKUP(C386,fostervand_snom,2,FALSE))</f>
        <v/>
      </c>
      <c r="R386" s="122" t="str">
        <f>IF(D386="","",VLOOKUP(D386,fostervand_snom,2,FALSE))</f>
        <v/>
      </c>
      <c r="S386" s="122" t="str">
        <f>IF(E386="","",VLOOKUP(E386,fostervand_snom,2,FALSE))</f>
        <v/>
      </c>
      <c r="T386" s="27" t="str">
        <f>IF(Q386="","",VLOOKUP(Q386,snomed,3,FALSE))</f>
        <v/>
      </c>
      <c r="U386" s="122" t="str">
        <f>IF(R386="","",VLOOKUP(R386,snomed,3,FALSE))</f>
        <v/>
      </c>
      <c r="V386" s="122" t="str">
        <f>IF(S386="","",VLOOKUP(S386,snomed,3,FALSE))</f>
        <v/>
      </c>
    </row>
    <row r="387" spans="1:22">
      <c r="A387" s="68" t="s">
        <v>352</v>
      </c>
      <c r="B387" s="15" t="s">
        <v>40</v>
      </c>
      <c r="C387" s="15"/>
      <c r="D387" s="15"/>
      <c r="E387" s="16"/>
      <c r="Q387" s="123"/>
      <c r="R387" s="153"/>
      <c r="S387" s="123"/>
      <c r="T387" s="156"/>
      <c r="U387" s="123"/>
      <c r="V387" s="123"/>
    </row>
    <row r="388" spans="1:22">
      <c r="Q388" s="2"/>
    </row>
    <row r="389" spans="1:22">
      <c r="A389" s="9" t="s">
        <v>363</v>
      </c>
      <c r="B389" s="10"/>
      <c r="C389" s="34" t="s">
        <v>27</v>
      </c>
      <c r="D389" s="39" t="s">
        <v>186</v>
      </c>
      <c r="E389" s="32" t="s">
        <v>29</v>
      </c>
    </row>
    <row r="390" spans="1:22">
      <c r="A390" s="11" t="s">
        <v>312</v>
      </c>
      <c r="B390" s="24" t="str">
        <f>IF(C390="","",VLOOKUP(C390,AftalerDatoer!$C$3:$G$26,4,FALSE))</f>
        <v/>
      </c>
      <c r="C390" s="20"/>
      <c r="D390" s="19" t="str">
        <f>IF(C390="","",VLOOKUP(C390,AftalerDatoer!$C$3:$E$26,2,FALSE))</f>
        <v/>
      </c>
      <c r="E390" s="12" t="str" cm="1">
        <f t="array" ref="E390">_xlfn.IFS(C390="","",VLOOKUP(C390,AftalerDatoer!$C$3:$H$26,4,FALSE)="SM",VLOOKUP(C390,AftalerDatoer!$C$3:$H$26,3,FALSE),VLOOKUP(C390,AftalerDatoer!$C$3:$H$26,4,FALSE)="UL",VLOOKUP(C390,AftalerDatoer!$C$3:$H$26,5,FALSE))</f>
        <v/>
      </c>
    </row>
    <row r="391" spans="1:22">
      <c r="A391" s="11" t="s">
        <v>72</v>
      </c>
      <c r="B391" t="s">
        <v>40</v>
      </c>
      <c r="E391" s="12"/>
    </row>
    <row r="392" spans="1:22">
      <c r="A392" s="11" t="s">
        <v>313</v>
      </c>
      <c r="B392" t="s">
        <v>70</v>
      </c>
      <c r="E392" s="12"/>
    </row>
    <row r="393" spans="1:22">
      <c r="A393" s="11" t="s">
        <v>314</v>
      </c>
      <c r="B393" t="s">
        <v>70</v>
      </c>
      <c r="E393" s="12"/>
    </row>
    <row r="394" spans="1:22">
      <c r="A394" s="11" t="s">
        <v>315</v>
      </c>
      <c r="B394" t="s">
        <v>316</v>
      </c>
      <c r="E394" s="12"/>
    </row>
    <row r="395" spans="1:22">
      <c r="A395" s="11" t="s">
        <v>44</v>
      </c>
      <c r="B395" t="s">
        <v>317</v>
      </c>
      <c r="E395" s="12"/>
    </row>
    <row r="396" spans="1:22">
      <c r="A396" s="11" t="s">
        <v>45</v>
      </c>
      <c r="B396" t="s">
        <v>318</v>
      </c>
      <c r="C396" s="13" t="str">
        <f t="shared" ref="C396" si="6">IF(C395="","",C394/((C395/100)^2))</f>
        <v/>
      </c>
      <c r="E396" s="40" t="s">
        <v>319</v>
      </c>
    </row>
    <row r="397" spans="1:22">
      <c r="A397" s="11" t="s">
        <v>320</v>
      </c>
      <c r="B397" t="s">
        <v>40</v>
      </c>
      <c r="E397" s="166"/>
    </row>
    <row r="398" spans="1:22">
      <c r="A398" s="11" t="s">
        <v>321</v>
      </c>
      <c r="B398" t="s">
        <v>40</v>
      </c>
      <c r="E398" s="166"/>
    </row>
    <row r="399" spans="1:22">
      <c r="A399" s="11" t="s">
        <v>322</v>
      </c>
      <c r="B399" t="s">
        <v>70</v>
      </c>
      <c r="E399" s="166"/>
    </row>
    <row r="400" spans="1:22">
      <c r="A400" s="67" t="s">
        <v>323</v>
      </c>
      <c r="B400" t="s">
        <v>40</v>
      </c>
      <c r="E400" s="166"/>
    </row>
    <row r="401" spans="1:22">
      <c r="A401" s="67" t="s">
        <v>324</v>
      </c>
      <c r="B401" t="s">
        <v>325</v>
      </c>
      <c r="E401" s="166"/>
    </row>
    <row r="402" spans="1:22">
      <c r="A402" s="67" t="s">
        <v>326</v>
      </c>
      <c r="B402" t="s">
        <v>327</v>
      </c>
      <c r="E402" s="166"/>
    </row>
    <row r="403" spans="1:22">
      <c r="A403" s="14" t="s">
        <v>328</v>
      </c>
      <c r="E403" s="12"/>
    </row>
    <row r="404" spans="1:22">
      <c r="A404" s="11" t="s">
        <v>329</v>
      </c>
      <c r="B404" t="s">
        <v>40</v>
      </c>
      <c r="E404" s="12"/>
      <c r="R404" s="84"/>
      <c r="S404" s="84"/>
    </row>
    <row r="405" spans="1:22">
      <c r="A405" s="11" t="s">
        <v>330</v>
      </c>
      <c r="B405" t="s">
        <v>40</v>
      </c>
      <c r="E405" s="12"/>
    </row>
    <row r="406" spans="1:22">
      <c r="A406" s="11" t="s">
        <v>331</v>
      </c>
      <c r="B406" t="s">
        <v>40</v>
      </c>
      <c r="E406" s="12"/>
    </row>
    <row r="407" spans="1:22">
      <c r="A407" s="11" t="s">
        <v>332</v>
      </c>
      <c r="B407" t="s">
        <v>40</v>
      </c>
      <c r="E407" s="12"/>
    </row>
    <row r="408" spans="1:22">
      <c r="A408" s="11" t="s">
        <v>333</v>
      </c>
      <c r="B408" t="s">
        <v>40</v>
      </c>
      <c r="E408" s="12"/>
      <c r="Q408" s="2"/>
    </row>
    <row r="409" spans="1:22">
      <c r="A409" s="11" t="s">
        <v>334</v>
      </c>
      <c r="B409" t="s">
        <v>49</v>
      </c>
      <c r="E409" s="12"/>
      <c r="Q409" s="124" t="str">
        <f>IF(C409="","",VLOOKUP(C409,snomed2,3,FALSE))</f>
        <v/>
      </c>
      <c r="T409" s="124" t="str">
        <f>IF(Q409="","",VLOOKUP(Q409,snomed,3,FALSE))</f>
        <v/>
      </c>
    </row>
    <row r="410" spans="1:22">
      <c r="A410" s="14" t="s">
        <v>335</v>
      </c>
      <c r="E410" s="12"/>
      <c r="Q410" s="121"/>
      <c r="T410" s="121"/>
    </row>
    <row r="411" spans="1:22">
      <c r="A411" s="11" t="s">
        <v>336</v>
      </c>
      <c r="B411" t="s">
        <v>337</v>
      </c>
      <c r="E411" s="12"/>
      <c r="P411" s="149"/>
      <c r="Q411" s="121"/>
      <c r="T411" s="121"/>
    </row>
    <row r="412" spans="1:22">
      <c r="A412" s="11" t="s">
        <v>338</v>
      </c>
      <c r="C412" s="1" t="s">
        <v>339</v>
      </c>
      <c r="D412" s="1" t="s">
        <v>340</v>
      </c>
      <c r="E412" s="40" t="s">
        <v>341</v>
      </c>
      <c r="P412" s="1"/>
      <c r="Q412" s="121"/>
      <c r="T412" s="121"/>
    </row>
    <row r="413" spans="1:22">
      <c r="A413" s="11" t="s">
        <v>342</v>
      </c>
      <c r="B413" t="s">
        <v>40</v>
      </c>
      <c r="E413" s="12"/>
      <c r="Q413" s="121"/>
      <c r="T413" s="121"/>
    </row>
    <row r="414" spans="1:22">
      <c r="A414" s="11" t="s">
        <v>343</v>
      </c>
      <c r="B414" t="s">
        <v>49</v>
      </c>
      <c r="E414" s="12"/>
      <c r="Q414" s="122" t="str">
        <f>IF(C414="","",VLOOKUP(C414,snomed2,3,FALSE))</f>
        <v/>
      </c>
      <c r="R414" s="150" t="str">
        <f>IF(D414="","",VLOOKUP(D414,snomed2,3,FALSE))</f>
        <v/>
      </c>
      <c r="S414" s="124" t="str">
        <f>IF(E414="","",VLOOKUP(E414,snomed2,3,FALSE))</f>
        <v/>
      </c>
      <c r="T414" s="27" t="str">
        <f>IF(Q414="","",VLOOKUP(Q414,snomed,3,FALSE))</f>
        <v/>
      </c>
      <c r="U414" s="124" t="str">
        <f>IF(R414="","",VLOOKUP(R414,snomed,3,FALSE))</f>
        <v/>
      </c>
      <c r="V414" s="124" t="str">
        <f>IF(S414="","",VLOOKUP(S414,snomed,3,FALSE))</f>
        <v/>
      </c>
    </row>
    <row r="415" spans="1:22">
      <c r="A415" s="11" t="s">
        <v>344</v>
      </c>
      <c r="B415" t="s">
        <v>49</v>
      </c>
      <c r="E415" s="12"/>
      <c r="Q415" s="122" t="str">
        <f>IF(C415="","",VLOOKUP(C415,snomed2,3,FALSE))</f>
        <v/>
      </c>
      <c r="R415" s="151" t="str">
        <f>IF(D415="","",VLOOKUP(D415,snomed2,3,FALSE))</f>
        <v/>
      </c>
      <c r="S415" s="122" t="str">
        <f>IF(E415="","",VLOOKUP(E415,snomed2,3,FALSE))</f>
        <v/>
      </c>
      <c r="T415" s="27" t="str">
        <f>IF(Q415="","",VLOOKUP(Q415,snomed,3,FALSE))</f>
        <v/>
      </c>
      <c r="U415" s="122" t="str">
        <f>IF(R415="","",VLOOKUP(R415,snomed,3,FALSE))</f>
        <v/>
      </c>
      <c r="V415" s="122" t="str">
        <f>IF(S415="","",VLOOKUP(S415,snomed,3,FALSE))</f>
        <v/>
      </c>
    </row>
    <row r="416" spans="1:22">
      <c r="A416" s="11" t="s">
        <v>345</v>
      </c>
      <c r="B416" t="s">
        <v>49</v>
      </c>
      <c r="E416" s="12"/>
      <c r="Q416" s="122" t="str">
        <f>IF(C416="","",VLOOKUP(C416,snomed2,3,FALSE))</f>
        <v/>
      </c>
      <c r="R416" s="151" t="str">
        <f>IF(D416="","",VLOOKUP(D416,snomed2,3,FALSE))</f>
        <v/>
      </c>
      <c r="S416" s="122" t="str">
        <f>IF(E416="","",VLOOKUP(E416,snomed2,3,FALSE))</f>
        <v/>
      </c>
      <c r="T416" s="27" t="str">
        <f>IF(Q416="","",VLOOKUP(Q416,snomed,3,FALSE))</f>
        <v/>
      </c>
      <c r="U416" s="122" t="str">
        <f>IF(R416="","",VLOOKUP(R416,snomed,3,FALSE))</f>
        <v/>
      </c>
      <c r="V416" s="122" t="str">
        <f>IF(S416="","",VLOOKUP(S416,snomed,3,FALSE))</f>
        <v/>
      </c>
    </row>
    <row r="417" spans="1:22">
      <c r="A417" s="67" t="s">
        <v>346</v>
      </c>
      <c r="B417" t="s">
        <v>49</v>
      </c>
      <c r="E417" s="12"/>
      <c r="Q417" s="122" t="str">
        <f>IF(C417="","",VLOOKUP(C417,snomed2,3,FALSE))</f>
        <v/>
      </c>
      <c r="R417" s="151" t="str">
        <f>IF(D417="","",VLOOKUP(D417,snomed2,3,FALSE))</f>
        <v/>
      </c>
      <c r="S417" s="122" t="str">
        <f>IF(E417="","",VLOOKUP(E417,snomed2,3,FALSE))</f>
        <v/>
      </c>
      <c r="T417" s="27" t="str">
        <f>IF(Q417="","",VLOOKUP(Q417,snomed,3,FALSE))</f>
        <v/>
      </c>
      <c r="U417" s="122" t="str">
        <f>IF(R417="","",VLOOKUP(R417,snomed,3,FALSE))</f>
        <v/>
      </c>
      <c r="V417" s="122" t="str">
        <f>IF(S417="","",VLOOKUP(S417,snomed,3,FALSE))</f>
        <v/>
      </c>
    </row>
    <row r="418" spans="1:22">
      <c r="A418" s="67" t="s">
        <v>347</v>
      </c>
      <c r="B418" t="s">
        <v>49</v>
      </c>
      <c r="E418" s="12"/>
      <c r="Q418" s="122" t="str">
        <f>IF(C418="","",VLOOKUP(C418,snomed2,3,FALSE))</f>
        <v/>
      </c>
      <c r="R418" s="151" t="str">
        <f>IF(D418="","",VLOOKUP(D418,snomed2,3,FALSE))</f>
        <v/>
      </c>
      <c r="S418" s="122" t="str">
        <f>IF(E418="","",VLOOKUP(E418,snomed2,3,FALSE))</f>
        <v/>
      </c>
      <c r="T418" s="27" t="str">
        <f>IF(Q418="","",VLOOKUP(Q418,snomed,3,FALSE))</f>
        <v/>
      </c>
      <c r="U418" s="122" t="str">
        <f>IF(R418="","",VLOOKUP(R418,snomed,3,FALSE))</f>
        <v/>
      </c>
      <c r="V418" s="122" t="str">
        <f>IF(S418="","",VLOOKUP(S418,snomed,3,FALSE))</f>
        <v/>
      </c>
    </row>
    <row r="419" spans="1:22">
      <c r="A419" s="67" t="s">
        <v>348</v>
      </c>
      <c r="B419" t="s">
        <v>43</v>
      </c>
      <c r="E419" s="12"/>
      <c r="Q419" s="121"/>
      <c r="R419" s="152"/>
      <c r="S419" s="121"/>
      <c r="T419" s="2"/>
      <c r="U419" s="121"/>
      <c r="V419" s="121"/>
    </row>
    <row r="420" spans="1:22">
      <c r="A420" s="67" t="s">
        <v>349</v>
      </c>
      <c r="B420" t="s">
        <v>43</v>
      </c>
      <c r="C420" s="96" t="str">
        <f>IF(LEFT($E390,2)&lt;25,"",IF(C419="","",(C419/VLOOKUP($E390,marsal,3,FALSE))-1))</f>
        <v/>
      </c>
      <c r="D420" s="96" t="str">
        <f>IF(LEFT($E390,2)&lt;25,"",IF(D419="","",(D419/VLOOKUP($E390,marsal,3,FALSE))-1))</f>
        <v/>
      </c>
      <c r="E420" s="140" t="str">
        <f>IF(LEFT($E390,2)&lt;25,"",IF(E419="","",(E419/VLOOKUP($E390,marsal,3,FALSE))-1))</f>
        <v/>
      </c>
      <c r="Q420" s="121"/>
      <c r="R420" s="152"/>
      <c r="S420" s="121"/>
      <c r="T420" s="2"/>
      <c r="U420" s="121"/>
      <c r="V420" s="121"/>
    </row>
    <row r="421" spans="1:22">
      <c r="A421" s="67" t="s">
        <v>350</v>
      </c>
      <c r="B421" t="s">
        <v>49</v>
      </c>
      <c r="E421" s="12"/>
      <c r="Q421" s="122" t="str">
        <f>IF(C421="","",VLOOKUP(C421,fostervand_snom,2,FALSE))</f>
        <v/>
      </c>
      <c r="R421" s="122" t="str">
        <f>IF(D421="","",VLOOKUP(D421,fostervand_snom,2,FALSE))</f>
        <v/>
      </c>
      <c r="S421" s="122" t="str">
        <f>IF(E421="","",VLOOKUP(E421,fostervand_snom,2,FALSE))</f>
        <v/>
      </c>
      <c r="T421" s="27" t="str">
        <f>IF(Q421="","",VLOOKUP(Q421,snomed,3,FALSE))</f>
        <v/>
      </c>
      <c r="U421" s="122" t="str">
        <f>IF(R421="","",VLOOKUP(R421,snomed,3,FALSE))</f>
        <v/>
      </c>
      <c r="V421" s="122" t="str">
        <f>IF(S421="","",VLOOKUP(S421,snomed,3,FALSE))</f>
        <v/>
      </c>
    </row>
    <row r="422" spans="1:22">
      <c r="A422" s="68" t="s">
        <v>352</v>
      </c>
      <c r="B422" s="15" t="s">
        <v>40</v>
      </c>
      <c r="C422" s="15"/>
      <c r="D422" s="15"/>
      <c r="E422" s="16"/>
      <c r="Q422" s="123"/>
      <c r="R422" s="153"/>
      <c r="S422" s="123"/>
      <c r="T422" s="156"/>
      <c r="U422" s="123"/>
      <c r="V422" s="123"/>
    </row>
    <row r="423" spans="1:22">
      <c r="Q423" s="2"/>
    </row>
    <row r="424" spans="1:22">
      <c r="A424" s="9" t="s">
        <v>364</v>
      </c>
      <c r="B424" s="10"/>
      <c r="C424" s="34" t="s">
        <v>27</v>
      </c>
      <c r="D424" s="39" t="s">
        <v>186</v>
      </c>
      <c r="E424" s="32" t="s">
        <v>29</v>
      </c>
    </row>
    <row r="425" spans="1:22">
      <c r="A425" s="11" t="s">
        <v>312</v>
      </c>
      <c r="B425" s="24" t="str">
        <f>IF(C425="","",VLOOKUP(C425,AftalerDatoer!$C$3:$G$26,4,FALSE))</f>
        <v/>
      </c>
      <c r="C425" s="20"/>
      <c r="D425" s="19" t="str">
        <f>IF(C425="","",VLOOKUP(C425,AftalerDatoer!$C$3:$E$26,2,FALSE))</f>
        <v/>
      </c>
      <c r="E425" s="12" t="str" cm="1">
        <f t="array" ref="E425">_xlfn.IFS(C425="","",VLOOKUP(C425,AftalerDatoer!$C$3:$H$26,4,FALSE)="SM",VLOOKUP(C425,AftalerDatoer!$C$3:$H$26,3,FALSE),VLOOKUP(C425,AftalerDatoer!$C$3:$H$26,4,FALSE)="UL",VLOOKUP(C425,AftalerDatoer!$C$3:$H$26,5,FALSE))</f>
        <v/>
      </c>
    </row>
    <row r="426" spans="1:22">
      <c r="A426" s="11" t="s">
        <v>72</v>
      </c>
      <c r="B426" t="s">
        <v>40</v>
      </c>
      <c r="E426" s="12"/>
    </row>
    <row r="427" spans="1:22">
      <c r="A427" s="11" t="s">
        <v>313</v>
      </c>
      <c r="B427" t="s">
        <v>70</v>
      </c>
      <c r="E427" s="12"/>
    </row>
    <row r="428" spans="1:22">
      <c r="A428" s="11" t="s">
        <v>314</v>
      </c>
      <c r="B428" t="s">
        <v>70</v>
      </c>
      <c r="E428" s="12"/>
    </row>
    <row r="429" spans="1:22">
      <c r="A429" s="11" t="s">
        <v>315</v>
      </c>
      <c r="B429" t="s">
        <v>316</v>
      </c>
      <c r="E429" s="12"/>
    </row>
    <row r="430" spans="1:22">
      <c r="A430" s="11" t="s">
        <v>44</v>
      </c>
      <c r="B430" t="s">
        <v>317</v>
      </c>
      <c r="E430" s="12"/>
    </row>
    <row r="431" spans="1:22">
      <c r="A431" s="11" t="s">
        <v>45</v>
      </c>
      <c r="B431" t="s">
        <v>318</v>
      </c>
      <c r="C431" s="13" t="str">
        <f t="shared" ref="C431" si="7">IF(C430="","",C429/((C430/100)^2))</f>
        <v/>
      </c>
      <c r="E431" s="40" t="s">
        <v>319</v>
      </c>
    </row>
    <row r="432" spans="1:22">
      <c r="A432" s="11" t="s">
        <v>320</v>
      </c>
      <c r="B432" t="s">
        <v>40</v>
      </c>
      <c r="E432" s="166"/>
    </row>
    <row r="433" spans="1:20">
      <c r="A433" s="11" t="s">
        <v>321</v>
      </c>
      <c r="B433" t="s">
        <v>40</v>
      </c>
      <c r="E433" s="166"/>
    </row>
    <row r="434" spans="1:20">
      <c r="A434" s="11" t="s">
        <v>322</v>
      </c>
      <c r="B434" t="s">
        <v>70</v>
      </c>
      <c r="E434" s="166"/>
    </row>
    <row r="435" spans="1:20">
      <c r="A435" s="67" t="s">
        <v>323</v>
      </c>
      <c r="B435" t="s">
        <v>40</v>
      </c>
      <c r="E435" s="166"/>
    </row>
    <row r="436" spans="1:20">
      <c r="A436" s="67" t="s">
        <v>324</v>
      </c>
      <c r="B436" t="s">
        <v>325</v>
      </c>
      <c r="E436" s="166"/>
    </row>
    <row r="437" spans="1:20">
      <c r="A437" s="67" t="s">
        <v>326</v>
      </c>
      <c r="B437" t="s">
        <v>327</v>
      </c>
      <c r="E437" s="166"/>
    </row>
    <row r="438" spans="1:20">
      <c r="A438" s="14" t="s">
        <v>328</v>
      </c>
      <c r="E438" s="12"/>
    </row>
    <row r="439" spans="1:20">
      <c r="A439" s="11" t="s">
        <v>329</v>
      </c>
      <c r="B439" t="s">
        <v>40</v>
      </c>
      <c r="E439" s="12"/>
      <c r="R439" s="84"/>
      <c r="S439" s="84"/>
    </row>
    <row r="440" spans="1:20">
      <c r="A440" s="11" t="s">
        <v>330</v>
      </c>
      <c r="B440" t="s">
        <v>40</v>
      </c>
      <c r="E440" s="12"/>
    </row>
    <row r="441" spans="1:20">
      <c r="A441" s="11" t="s">
        <v>331</v>
      </c>
      <c r="B441" t="s">
        <v>40</v>
      </c>
      <c r="E441" s="12"/>
    </row>
    <row r="442" spans="1:20">
      <c r="A442" s="11" t="s">
        <v>332</v>
      </c>
      <c r="B442" t="s">
        <v>40</v>
      </c>
      <c r="E442" s="12"/>
    </row>
    <row r="443" spans="1:20">
      <c r="A443" s="11" t="s">
        <v>333</v>
      </c>
      <c r="B443" t="s">
        <v>40</v>
      </c>
      <c r="E443" s="12"/>
      <c r="Q443" s="2"/>
    </row>
    <row r="444" spans="1:20">
      <c r="A444" s="11" t="s">
        <v>334</v>
      </c>
      <c r="B444" t="s">
        <v>49</v>
      </c>
      <c r="E444" s="12"/>
      <c r="Q444" s="124" t="str">
        <f>IF(C444="","",VLOOKUP(C444,snomed2,3,FALSE))</f>
        <v/>
      </c>
      <c r="T444" s="124" t="str">
        <f>IF(Q444="","",VLOOKUP(Q444,snomed,3,FALSE))</f>
        <v/>
      </c>
    </row>
    <row r="445" spans="1:20">
      <c r="A445" s="14" t="s">
        <v>335</v>
      </c>
      <c r="E445" s="12"/>
      <c r="Q445" s="121"/>
      <c r="T445" s="121"/>
    </row>
    <row r="446" spans="1:20">
      <c r="A446" s="11" t="s">
        <v>336</v>
      </c>
      <c r="B446" t="s">
        <v>337</v>
      </c>
      <c r="E446" s="12"/>
      <c r="P446" s="149"/>
      <c r="Q446" s="121"/>
      <c r="T446" s="121"/>
    </row>
    <row r="447" spans="1:20">
      <c r="A447" s="11" t="s">
        <v>338</v>
      </c>
      <c r="C447" s="1" t="s">
        <v>339</v>
      </c>
      <c r="D447" s="1" t="s">
        <v>340</v>
      </c>
      <c r="E447" s="40" t="s">
        <v>341</v>
      </c>
      <c r="P447" s="1"/>
      <c r="Q447" s="121"/>
      <c r="T447" s="121"/>
    </row>
    <row r="448" spans="1:20">
      <c r="A448" s="11" t="s">
        <v>342</v>
      </c>
      <c r="B448" t="s">
        <v>40</v>
      </c>
      <c r="E448" s="12"/>
      <c r="Q448" s="121"/>
      <c r="T448" s="121"/>
    </row>
    <row r="449" spans="1:22">
      <c r="A449" s="11" t="s">
        <v>343</v>
      </c>
      <c r="B449" t="s">
        <v>49</v>
      </c>
      <c r="E449" s="12"/>
      <c r="Q449" s="122" t="str">
        <f>IF(C449="","",VLOOKUP(C449,snomed2,3,FALSE))</f>
        <v/>
      </c>
      <c r="R449" s="150" t="str">
        <f>IF(D449="","",VLOOKUP(D449,snomed2,3,FALSE))</f>
        <v/>
      </c>
      <c r="S449" s="124" t="str">
        <f>IF(E449="","",VLOOKUP(E449,snomed2,3,FALSE))</f>
        <v/>
      </c>
      <c r="T449" s="27" t="str">
        <f>IF(Q449="","",VLOOKUP(Q449,snomed,3,FALSE))</f>
        <v/>
      </c>
      <c r="U449" s="124" t="str">
        <f>IF(R449="","",VLOOKUP(R449,snomed,3,FALSE))</f>
        <v/>
      </c>
      <c r="V449" s="124" t="str">
        <f>IF(S449="","",VLOOKUP(S449,snomed,3,FALSE))</f>
        <v/>
      </c>
    </row>
    <row r="450" spans="1:22">
      <c r="A450" s="11" t="s">
        <v>344</v>
      </c>
      <c r="B450" t="s">
        <v>49</v>
      </c>
      <c r="E450" s="12"/>
      <c r="Q450" s="122" t="str">
        <f>IF(C450="","",VLOOKUP(C450,snomed2,3,FALSE))</f>
        <v/>
      </c>
      <c r="R450" s="151" t="str">
        <f>IF(D450="","",VLOOKUP(D450,snomed2,3,FALSE))</f>
        <v/>
      </c>
      <c r="S450" s="122" t="str">
        <f>IF(E450="","",VLOOKUP(E450,snomed2,3,FALSE))</f>
        <v/>
      </c>
      <c r="T450" s="27" t="str">
        <f>IF(Q450="","",VLOOKUP(Q450,snomed,3,FALSE))</f>
        <v/>
      </c>
      <c r="U450" s="122" t="str">
        <f>IF(R450="","",VLOOKUP(R450,snomed,3,FALSE))</f>
        <v/>
      </c>
      <c r="V450" s="122" t="str">
        <f>IF(S450="","",VLOOKUP(S450,snomed,3,FALSE))</f>
        <v/>
      </c>
    </row>
    <row r="451" spans="1:22">
      <c r="A451" s="11" t="s">
        <v>345</v>
      </c>
      <c r="B451" t="s">
        <v>49</v>
      </c>
      <c r="E451" s="12"/>
      <c r="Q451" s="122" t="str">
        <f>IF(C451="","",VLOOKUP(C451,snomed2,3,FALSE))</f>
        <v/>
      </c>
      <c r="R451" s="151" t="str">
        <f>IF(D451="","",VLOOKUP(D451,snomed2,3,FALSE))</f>
        <v/>
      </c>
      <c r="S451" s="122" t="str">
        <f>IF(E451="","",VLOOKUP(E451,snomed2,3,FALSE))</f>
        <v/>
      </c>
      <c r="T451" s="27" t="str">
        <f>IF(Q451="","",VLOOKUP(Q451,snomed,3,FALSE))</f>
        <v/>
      </c>
      <c r="U451" s="122" t="str">
        <f>IF(R451="","",VLOOKUP(R451,snomed,3,FALSE))</f>
        <v/>
      </c>
      <c r="V451" s="122" t="str">
        <f>IF(S451="","",VLOOKUP(S451,snomed,3,FALSE))</f>
        <v/>
      </c>
    </row>
    <row r="452" spans="1:22">
      <c r="A452" s="67" t="s">
        <v>346</v>
      </c>
      <c r="B452" t="s">
        <v>49</v>
      </c>
      <c r="E452" s="12"/>
      <c r="Q452" s="122" t="str">
        <f>IF(C452="","",VLOOKUP(C452,snomed2,3,FALSE))</f>
        <v/>
      </c>
      <c r="R452" s="151" t="str">
        <f>IF(D452="","",VLOOKUP(D452,snomed2,3,FALSE))</f>
        <v/>
      </c>
      <c r="S452" s="122" t="str">
        <f>IF(E452="","",VLOOKUP(E452,snomed2,3,FALSE))</f>
        <v/>
      </c>
      <c r="T452" s="27" t="str">
        <f>IF(Q452="","",VLOOKUP(Q452,snomed,3,FALSE))</f>
        <v/>
      </c>
      <c r="U452" s="122" t="str">
        <f>IF(R452="","",VLOOKUP(R452,snomed,3,FALSE))</f>
        <v/>
      </c>
      <c r="V452" s="122" t="str">
        <f>IF(S452="","",VLOOKUP(S452,snomed,3,FALSE))</f>
        <v/>
      </c>
    </row>
    <row r="453" spans="1:22">
      <c r="A453" s="67" t="s">
        <v>347</v>
      </c>
      <c r="B453" t="s">
        <v>49</v>
      </c>
      <c r="E453" s="12"/>
      <c r="Q453" s="122" t="str">
        <f>IF(C453="","",VLOOKUP(C453,snomed2,3,FALSE))</f>
        <v/>
      </c>
      <c r="R453" s="151" t="str">
        <f>IF(D453="","",VLOOKUP(D453,snomed2,3,FALSE))</f>
        <v/>
      </c>
      <c r="S453" s="122" t="str">
        <f>IF(E453="","",VLOOKUP(E453,snomed2,3,FALSE))</f>
        <v/>
      </c>
      <c r="T453" s="27" t="str">
        <f>IF(Q453="","",VLOOKUP(Q453,snomed,3,FALSE))</f>
        <v/>
      </c>
      <c r="U453" s="122" t="str">
        <f>IF(R453="","",VLOOKUP(R453,snomed,3,FALSE))</f>
        <v/>
      </c>
      <c r="V453" s="122" t="str">
        <f>IF(S453="","",VLOOKUP(S453,snomed,3,FALSE))</f>
        <v/>
      </c>
    </row>
    <row r="454" spans="1:22">
      <c r="A454" s="67" t="s">
        <v>348</v>
      </c>
      <c r="B454" t="s">
        <v>43</v>
      </c>
      <c r="E454" s="12"/>
      <c r="Q454" s="121"/>
      <c r="R454" s="152"/>
      <c r="S454" s="121"/>
      <c r="T454" s="2"/>
      <c r="U454" s="121"/>
      <c r="V454" s="121"/>
    </row>
    <row r="455" spans="1:22">
      <c r="A455" s="67" t="s">
        <v>349</v>
      </c>
      <c r="B455" t="s">
        <v>43</v>
      </c>
      <c r="C455" s="96" t="str">
        <f>IF(LEFT($E425,2)&lt;25,"",IF(C454="","",(C454/VLOOKUP($E425,marsal,3,FALSE))-1))</f>
        <v/>
      </c>
      <c r="D455" s="96" t="str">
        <f>IF(LEFT($E425,2)&lt;25,"",IF(D454="","",(D454/VLOOKUP($E425,marsal,3,FALSE))-1))</f>
        <v/>
      </c>
      <c r="E455" s="140" t="str">
        <f>IF(LEFT($E425,2)&lt;25,"",IF(E454="","",(E454/VLOOKUP($E425,marsal,3,FALSE))-1))</f>
        <v/>
      </c>
      <c r="Q455" s="121"/>
      <c r="R455" s="152"/>
      <c r="S455" s="121"/>
      <c r="T455" s="2"/>
      <c r="U455" s="121"/>
      <c r="V455" s="121"/>
    </row>
    <row r="456" spans="1:22">
      <c r="A456" s="67" t="s">
        <v>350</v>
      </c>
      <c r="B456" t="s">
        <v>49</v>
      </c>
      <c r="E456" s="12"/>
      <c r="Q456" s="122" t="str">
        <f>IF(C456="","",VLOOKUP(C456,fostervand_snom,2,FALSE))</f>
        <v/>
      </c>
      <c r="R456" s="122" t="str">
        <f>IF(D456="","",VLOOKUP(D456,fostervand_snom,2,FALSE))</f>
        <v/>
      </c>
      <c r="S456" s="122" t="str">
        <f>IF(E456="","",VLOOKUP(E456,fostervand_snom,2,FALSE))</f>
        <v/>
      </c>
      <c r="T456" s="27" t="str">
        <f>IF(Q456="","",VLOOKUP(Q456,snomed,3,FALSE))</f>
        <v/>
      </c>
      <c r="U456" s="122" t="str">
        <f>IF(R456="","",VLOOKUP(R456,snomed,3,FALSE))</f>
        <v/>
      </c>
      <c r="V456" s="122" t="str">
        <f>IF(S456="","",VLOOKUP(S456,snomed,3,FALSE))</f>
        <v/>
      </c>
    </row>
    <row r="457" spans="1:22">
      <c r="A457" s="68" t="s">
        <v>352</v>
      </c>
      <c r="B457" s="15" t="s">
        <v>40</v>
      </c>
      <c r="C457" s="15"/>
      <c r="D457" s="15"/>
      <c r="E457" s="16"/>
      <c r="Q457" s="123"/>
      <c r="R457" s="153"/>
      <c r="S457" s="123"/>
      <c r="T457" s="156"/>
      <c r="U457" s="123"/>
      <c r="V457" s="123"/>
    </row>
    <row r="458" spans="1:22">
      <c r="Q458" s="2"/>
    </row>
    <row r="459" spans="1:22">
      <c r="A459" s="9" t="s">
        <v>365</v>
      </c>
      <c r="B459" s="10"/>
      <c r="C459" s="34" t="s">
        <v>27</v>
      </c>
      <c r="D459" s="39" t="s">
        <v>186</v>
      </c>
      <c r="E459" s="32" t="s">
        <v>29</v>
      </c>
    </row>
    <row r="460" spans="1:22">
      <c r="A460" s="11" t="s">
        <v>312</v>
      </c>
      <c r="B460" s="24" t="str">
        <f>IF(C460="","",VLOOKUP(C460,AftalerDatoer!$C$3:$G$26,4,FALSE))</f>
        <v/>
      </c>
      <c r="C460" s="20"/>
      <c r="D460" s="19" t="str">
        <f>IF(C460="","",VLOOKUP(C460,AftalerDatoer!$C$3:$E$26,2,FALSE))</f>
        <v/>
      </c>
      <c r="E460" s="12" t="str" cm="1">
        <f t="array" ref="E460">_xlfn.IFS(C460="","",VLOOKUP(C460,AftalerDatoer!$C$3:$H$26,4,FALSE)="SM",VLOOKUP(C460,AftalerDatoer!$C$3:$H$26,3,FALSE),VLOOKUP(C460,AftalerDatoer!$C$3:$H$26,4,FALSE)="UL",VLOOKUP(C460,AftalerDatoer!$C$3:$H$26,5,FALSE))</f>
        <v/>
      </c>
    </row>
    <row r="461" spans="1:22">
      <c r="A461" s="11" t="s">
        <v>72</v>
      </c>
      <c r="B461" t="s">
        <v>40</v>
      </c>
      <c r="E461" s="12"/>
    </row>
    <row r="462" spans="1:22">
      <c r="A462" s="11" t="s">
        <v>313</v>
      </c>
      <c r="B462" t="s">
        <v>70</v>
      </c>
      <c r="E462" s="12"/>
    </row>
    <row r="463" spans="1:22">
      <c r="A463" s="11" t="s">
        <v>314</v>
      </c>
      <c r="B463" t="s">
        <v>70</v>
      </c>
      <c r="E463" s="12"/>
    </row>
    <row r="464" spans="1:22">
      <c r="A464" s="11" t="s">
        <v>315</v>
      </c>
      <c r="B464" t="s">
        <v>316</v>
      </c>
      <c r="E464" s="12"/>
    </row>
    <row r="465" spans="1:20">
      <c r="A465" s="11" t="s">
        <v>44</v>
      </c>
      <c r="B465" t="s">
        <v>317</v>
      </c>
      <c r="E465" s="12"/>
    </row>
    <row r="466" spans="1:20">
      <c r="A466" s="11" t="s">
        <v>45</v>
      </c>
      <c r="B466" t="s">
        <v>318</v>
      </c>
      <c r="C466" s="13" t="str">
        <f t="shared" ref="C466" si="8">IF(C465="","",C464/((C465/100)^2))</f>
        <v/>
      </c>
      <c r="E466" s="40" t="s">
        <v>319</v>
      </c>
    </row>
    <row r="467" spans="1:20">
      <c r="A467" s="11" t="s">
        <v>320</v>
      </c>
      <c r="B467" t="s">
        <v>40</v>
      </c>
      <c r="E467" s="166"/>
    </row>
    <row r="468" spans="1:20">
      <c r="A468" s="11" t="s">
        <v>321</v>
      </c>
      <c r="B468" t="s">
        <v>40</v>
      </c>
      <c r="E468" s="166"/>
    </row>
    <row r="469" spans="1:20">
      <c r="A469" s="11" t="s">
        <v>322</v>
      </c>
      <c r="B469" t="s">
        <v>70</v>
      </c>
      <c r="E469" s="166"/>
    </row>
    <row r="470" spans="1:20">
      <c r="A470" s="67" t="s">
        <v>323</v>
      </c>
      <c r="B470" t="s">
        <v>40</v>
      </c>
      <c r="E470" s="166"/>
    </row>
    <row r="471" spans="1:20">
      <c r="A471" s="67" t="s">
        <v>324</v>
      </c>
      <c r="B471" t="s">
        <v>325</v>
      </c>
      <c r="E471" s="166"/>
    </row>
    <row r="472" spans="1:20">
      <c r="A472" s="67" t="s">
        <v>326</v>
      </c>
      <c r="B472" t="s">
        <v>327</v>
      </c>
      <c r="E472" s="166"/>
    </row>
    <row r="473" spans="1:20">
      <c r="A473" s="14" t="s">
        <v>328</v>
      </c>
      <c r="E473" s="12"/>
    </row>
    <row r="474" spans="1:20">
      <c r="A474" s="11" t="s">
        <v>329</v>
      </c>
      <c r="B474" t="s">
        <v>40</v>
      </c>
      <c r="E474" s="12"/>
      <c r="R474" s="84"/>
      <c r="S474" s="84"/>
    </row>
    <row r="475" spans="1:20">
      <c r="A475" s="11" t="s">
        <v>330</v>
      </c>
      <c r="B475" t="s">
        <v>40</v>
      </c>
      <c r="E475" s="12"/>
    </row>
    <row r="476" spans="1:20">
      <c r="A476" s="11" t="s">
        <v>331</v>
      </c>
      <c r="B476" t="s">
        <v>40</v>
      </c>
      <c r="E476" s="12"/>
    </row>
    <row r="477" spans="1:20">
      <c r="A477" s="11" t="s">
        <v>332</v>
      </c>
      <c r="B477" t="s">
        <v>40</v>
      </c>
      <c r="E477" s="12"/>
    </row>
    <row r="478" spans="1:20">
      <c r="A478" s="11" t="s">
        <v>333</v>
      </c>
      <c r="B478" t="s">
        <v>40</v>
      </c>
      <c r="E478" s="12"/>
      <c r="Q478" s="2"/>
    </row>
    <row r="479" spans="1:20">
      <c r="A479" s="11" t="s">
        <v>334</v>
      </c>
      <c r="B479" t="s">
        <v>49</v>
      </c>
      <c r="E479" s="12"/>
      <c r="Q479" s="124" t="str">
        <f>IF(C479="","",VLOOKUP(C479,snomed2,3,FALSE))</f>
        <v/>
      </c>
      <c r="T479" s="124" t="str">
        <f>IF(Q479="","",VLOOKUP(Q479,snomed,3,FALSE))</f>
        <v/>
      </c>
    </row>
    <row r="480" spans="1:20">
      <c r="A480" s="14" t="s">
        <v>335</v>
      </c>
      <c r="E480" s="12"/>
      <c r="Q480" s="121"/>
      <c r="T480" s="121"/>
    </row>
    <row r="481" spans="1:22">
      <c r="A481" s="11" t="s">
        <v>336</v>
      </c>
      <c r="B481" t="s">
        <v>337</v>
      </c>
      <c r="E481" s="12"/>
      <c r="P481" s="149"/>
      <c r="Q481" s="121"/>
      <c r="T481" s="121"/>
    </row>
    <row r="482" spans="1:22">
      <c r="A482" s="11" t="s">
        <v>338</v>
      </c>
      <c r="C482" s="1" t="s">
        <v>339</v>
      </c>
      <c r="D482" s="1" t="s">
        <v>340</v>
      </c>
      <c r="E482" s="40" t="s">
        <v>341</v>
      </c>
      <c r="P482" s="1"/>
      <c r="Q482" s="121"/>
      <c r="T482" s="121"/>
    </row>
    <row r="483" spans="1:22">
      <c r="A483" s="11" t="s">
        <v>342</v>
      </c>
      <c r="B483" t="s">
        <v>40</v>
      </c>
      <c r="E483" s="12"/>
      <c r="Q483" s="121"/>
      <c r="T483" s="121"/>
    </row>
    <row r="484" spans="1:22">
      <c r="A484" s="11" t="s">
        <v>343</v>
      </c>
      <c r="B484" t="s">
        <v>49</v>
      </c>
      <c r="E484" s="12"/>
      <c r="Q484" s="122" t="str">
        <f>IF(C484="","",VLOOKUP(C484,snomed2,3,FALSE))</f>
        <v/>
      </c>
      <c r="R484" s="150" t="str">
        <f>IF(D484="","",VLOOKUP(D484,snomed2,3,FALSE))</f>
        <v/>
      </c>
      <c r="S484" s="124" t="str">
        <f>IF(E484="","",VLOOKUP(E484,snomed2,3,FALSE))</f>
        <v/>
      </c>
      <c r="T484" s="27" t="str">
        <f>IF(Q484="","",VLOOKUP(Q484,snomed,3,FALSE))</f>
        <v/>
      </c>
      <c r="U484" s="124" t="str">
        <f>IF(R484="","",VLOOKUP(R484,snomed,3,FALSE))</f>
        <v/>
      </c>
      <c r="V484" s="124" t="str">
        <f>IF(S484="","",VLOOKUP(S484,snomed,3,FALSE))</f>
        <v/>
      </c>
    </row>
    <row r="485" spans="1:22">
      <c r="A485" s="11" t="s">
        <v>344</v>
      </c>
      <c r="B485" t="s">
        <v>49</v>
      </c>
      <c r="E485" s="12"/>
      <c r="Q485" s="122" t="str">
        <f>IF(C485="","",VLOOKUP(C485,snomed2,3,FALSE))</f>
        <v/>
      </c>
      <c r="R485" s="151" t="str">
        <f>IF(D485="","",VLOOKUP(D485,snomed2,3,FALSE))</f>
        <v/>
      </c>
      <c r="S485" s="122" t="str">
        <f>IF(E485="","",VLOOKUP(E485,snomed2,3,FALSE))</f>
        <v/>
      </c>
      <c r="T485" s="27" t="str">
        <f>IF(Q485="","",VLOOKUP(Q485,snomed,3,FALSE))</f>
        <v/>
      </c>
      <c r="U485" s="122" t="str">
        <f>IF(R485="","",VLOOKUP(R485,snomed,3,FALSE))</f>
        <v/>
      </c>
      <c r="V485" s="122" t="str">
        <f>IF(S485="","",VLOOKUP(S485,snomed,3,FALSE))</f>
        <v/>
      </c>
    </row>
    <row r="486" spans="1:22">
      <c r="A486" s="11" t="s">
        <v>345</v>
      </c>
      <c r="B486" t="s">
        <v>49</v>
      </c>
      <c r="E486" s="12"/>
      <c r="Q486" s="122" t="str">
        <f>IF(C486="","",VLOOKUP(C486,snomed2,3,FALSE))</f>
        <v/>
      </c>
      <c r="R486" s="151" t="str">
        <f>IF(D486="","",VLOOKUP(D486,snomed2,3,FALSE))</f>
        <v/>
      </c>
      <c r="S486" s="122" t="str">
        <f>IF(E486="","",VLOOKUP(E486,snomed2,3,FALSE))</f>
        <v/>
      </c>
      <c r="T486" s="27" t="str">
        <f>IF(Q486="","",VLOOKUP(Q486,snomed,3,FALSE))</f>
        <v/>
      </c>
      <c r="U486" s="122" t="str">
        <f>IF(R486="","",VLOOKUP(R486,snomed,3,FALSE))</f>
        <v/>
      </c>
      <c r="V486" s="122" t="str">
        <f>IF(S486="","",VLOOKUP(S486,snomed,3,FALSE))</f>
        <v/>
      </c>
    </row>
    <row r="487" spans="1:22">
      <c r="A487" s="67" t="s">
        <v>346</v>
      </c>
      <c r="B487" t="s">
        <v>49</v>
      </c>
      <c r="E487" s="12"/>
      <c r="Q487" s="122" t="str">
        <f>IF(C487="","",VLOOKUP(C487,snomed2,3,FALSE))</f>
        <v/>
      </c>
      <c r="R487" s="151" t="str">
        <f>IF(D487="","",VLOOKUP(D487,snomed2,3,FALSE))</f>
        <v/>
      </c>
      <c r="S487" s="122" t="str">
        <f>IF(E487="","",VLOOKUP(E487,snomed2,3,FALSE))</f>
        <v/>
      </c>
      <c r="T487" s="27" t="str">
        <f>IF(Q487="","",VLOOKUP(Q487,snomed,3,FALSE))</f>
        <v/>
      </c>
      <c r="U487" s="122" t="str">
        <f>IF(R487="","",VLOOKUP(R487,snomed,3,FALSE))</f>
        <v/>
      </c>
      <c r="V487" s="122" t="str">
        <f>IF(S487="","",VLOOKUP(S487,snomed,3,FALSE))</f>
        <v/>
      </c>
    </row>
    <row r="488" spans="1:22">
      <c r="A488" s="67" t="s">
        <v>347</v>
      </c>
      <c r="B488" t="s">
        <v>49</v>
      </c>
      <c r="E488" s="12"/>
      <c r="Q488" s="122" t="str">
        <f>IF(C488="","",VLOOKUP(C488,snomed2,3,FALSE))</f>
        <v/>
      </c>
      <c r="R488" s="151" t="str">
        <f>IF(D488="","",VLOOKUP(D488,snomed2,3,FALSE))</f>
        <v/>
      </c>
      <c r="S488" s="122" t="str">
        <f>IF(E488="","",VLOOKUP(E488,snomed2,3,FALSE))</f>
        <v/>
      </c>
      <c r="T488" s="27" t="str">
        <f>IF(Q488="","",VLOOKUP(Q488,snomed,3,FALSE))</f>
        <v/>
      </c>
      <c r="U488" s="122" t="str">
        <f>IF(R488="","",VLOOKUP(R488,snomed,3,FALSE))</f>
        <v/>
      </c>
      <c r="V488" s="122" t="str">
        <f>IF(S488="","",VLOOKUP(S488,snomed,3,FALSE))</f>
        <v/>
      </c>
    </row>
    <row r="489" spans="1:22">
      <c r="A489" s="67" t="s">
        <v>348</v>
      </c>
      <c r="B489" t="s">
        <v>43</v>
      </c>
      <c r="E489" s="12"/>
      <c r="Q489" s="121"/>
      <c r="R489" s="152"/>
      <c r="S489" s="121"/>
      <c r="T489" s="2"/>
      <c r="U489" s="121"/>
      <c r="V489" s="121"/>
    </row>
    <row r="490" spans="1:22">
      <c r="A490" s="67" t="s">
        <v>349</v>
      </c>
      <c r="B490" t="s">
        <v>43</v>
      </c>
      <c r="C490" s="96" t="str">
        <f>IF(LEFT($E460,2)&lt;25,"",IF(C489="","",(C489/VLOOKUP($E460,marsal,3,FALSE))-1))</f>
        <v/>
      </c>
      <c r="D490" s="96" t="str">
        <f>IF(LEFT($E460,2)&lt;25,"",IF(D489="","",(D489/VLOOKUP($E460,marsal,3,FALSE))-1))</f>
        <v/>
      </c>
      <c r="E490" s="140" t="str">
        <f>IF(LEFT($E460,2)&lt;25,"",IF(E489="","",(E489/VLOOKUP($E460,marsal,3,FALSE))-1))</f>
        <v/>
      </c>
      <c r="Q490" s="121"/>
      <c r="R490" s="152"/>
      <c r="S490" s="121"/>
      <c r="T490" s="2"/>
      <c r="U490" s="121"/>
      <c r="V490" s="121"/>
    </row>
    <row r="491" spans="1:22">
      <c r="A491" s="67" t="s">
        <v>350</v>
      </c>
      <c r="B491" t="s">
        <v>49</v>
      </c>
      <c r="E491" s="12"/>
      <c r="Q491" s="122" t="str">
        <f>IF(C491="","",VLOOKUP(C491,fostervand_snom,2,FALSE))</f>
        <v/>
      </c>
      <c r="R491" s="122" t="str">
        <f>IF(D491="","",VLOOKUP(D491,fostervand_snom,2,FALSE))</f>
        <v/>
      </c>
      <c r="S491" s="122" t="str">
        <f>IF(E491="","",VLOOKUP(E491,fostervand_snom,2,FALSE))</f>
        <v/>
      </c>
      <c r="T491" s="27" t="str">
        <f>IF(Q491="","",VLOOKUP(Q491,snomed,3,FALSE))</f>
        <v/>
      </c>
      <c r="U491" s="122" t="str">
        <f>IF(R491="","",VLOOKUP(R491,snomed,3,FALSE))</f>
        <v/>
      </c>
      <c r="V491" s="122" t="str">
        <f>IF(S491="","",VLOOKUP(S491,snomed,3,FALSE))</f>
        <v/>
      </c>
    </row>
    <row r="492" spans="1:22">
      <c r="A492" s="68" t="s">
        <v>352</v>
      </c>
      <c r="B492" s="15" t="s">
        <v>40</v>
      </c>
      <c r="C492" s="15"/>
      <c r="D492" s="15"/>
      <c r="E492" s="16"/>
      <c r="Q492" s="123"/>
      <c r="R492" s="153"/>
      <c r="S492" s="123"/>
      <c r="T492" s="156"/>
      <c r="U492" s="123"/>
      <c r="V492" s="123"/>
    </row>
    <row r="493" spans="1:22">
      <c r="Q493" s="2"/>
    </row>
    <row r="494" spans="1:22">
      <c r="A494" s="9" t="s">
        <v>366</v>
      </c>
      <c r="B494" s="10"/>
      <c r="C494" s="34" t="s">
        <v>27</v>
      </c>
      <c r="D494" s="39" t="s">
        <v>186</v>
      </c>
      <c r="E494" s="32" t="s">
        <v>29</v>
      </c>
    </row>
    <row r="495" spans="1:22">
      <c r="A495" s="11" t="s">
        <v>312</v>
      </c>
      <c r="B495" s="24" t="str">
        <f>IF(C495="","",VLOOKUP(C495,AftalerDatoer!$C$3:$G$26,4,FALSE))</f>
        <v/>
      </c>
      <c r="C495" s="20"/>
      <c r="D495" s="19" t="str">
        <f>IF(C495="","",VLOOKUP(C495,AftalerDatoer!$C$3:$E$26,2,FALSE))</f>
        <v/>
      </c>
      <c r="E495" s="12" t="str" cm="1">
        <f t="array" ref="E495">_xlfn.IFS(C495="","",VLOOKUP(C495,AftalerDatoer!$C$3:$H$26,4,FALSE)="SM",VLOOKUP(C495,AftalerDatoer!$C$3:$H$26,3,FALSE),VLOOKUP(C495,AftalerDatoer!$C$3:$H$26,4,FALSE)="UL",VLOOKUP(C495,AftalerDatoer!$C$3:$H$26,5,FALSE))</f>
        <v/>
      </c>
    </row>
    <row r="496" spans="1:22">
      <c r="A496" s="11" t="s">
        <v>72</v>
      </c>
      <c r="B496" t="s">
        <v>40</v>
      </c>
      <c r="E496" s="12"/>
    </row>
    <row r="497" spans="1:19">
      <c r="A497" s="11" t="s">
        <v>313</v>
      </c>
      <c r="B497" t="s">
        <v>70</v>
      </c>
      <c r="E497" s="12"/>
    </row>
    <row r="498" spans="1:19">
      <c r="A498" s="11" t="s">
        <v>314</v>
      </c>
      <c r="B498" t="s">
        <v>70</v>
      </c>
      <c r="E498" s="12"/>
    </row>
    <row r="499" spans="1:19">
      <c r="A499" s="11" t="s">
        <v>315</v>
      </c>
      <c r="B499" t="s">
        <v>316</v>
      </c>
      <c r="E499" s="12"/>
    </row>
    <row r="500" spans="1:19">
      <c r="A500" s="11" t="s">
        <v>44</v>
      </c>
      <c r="B500" t="s">
        <v>317</v>
      </c>
      <c r="E500" s="12"/>
    </row>
    <row r="501" spans="1:19">
      <c r="A501" s="11" t="s">
        <v>45</v>
      </c>
      <c r="B501" t="s">
        <v>318</v>
      </c>
      <c r="C501" s="13" t="str">
        <f t="shared" ref="C501" si="9">IF(C500="","",C499/((C500/100)^2))</f>
        <v/>
      </c>
      <c r="E501" s="40" t="s">
        <v>319</v>
      </c>
    </row>
    <row r="502" spans="1:19">
      <c r="A502" s="11" t="s">
        <v>320</v>
      </c>
      <c r="B502" t="s">
        <v>40</v>
      </c>
      <c r="E502" s="166"/>
    </row>
    <row r="503" spans="1:19">
      <c r="A503" s="11" t="s">
        <v>321</v>
      </c>
      <c r="B503" t="s">
        <v>40</v>
      </c>
      <c r="E503" s="166"/>
    </row>
    <row r="504" spans="1:19">
      <c r="A504" s="11" t="s">
        <v>322</v>
      </c>
      <c r="B504" t="s">
        <v>70</v>
      </c>
      <c r="E504" s="166"/>
    </row>
    <row r="505" spans="1:19">
      <c r="A505" s="67" t="s">
        <v>323</v>
      </c>
      <c r="B505" t="s">
        <v>40</v>
      </c>
      <c r="E505" s="166"/>
    </row>
    <row r="506" spans="1:19">
      <c r="A506" s="67" t="s">
        <v>324</v>
      </c>
      <c r="B506" t="s">
        <v>325</v>
      </c>
      <c r="E506" s="166"/>
    </row>
    <row r="507" spans="1:19">
      <c r="A507" s="67" t="s">
        <v>326</v>
      </c>
      <c r="B507" t="s">
        <v>327</v>
      </c>
      <c r="E507" s="166"/>
    </row>
    <row r="508" spans="1:19">
      <c r="A508" s="14" t="s">
        <v>328</v>
      </c>
      <c r="E508" s="12"/>
    </row>
    <row r="509" spans="1:19">
      <c r="A509" s="11" t="s">
        <v>329</v>
      </c>
      <c r="B509" t="s">
        <v>40</v>
      </c>
      <c r="E509" s="12"/>
      <c r="R509" s="84"/>
      <c r="S509" s="84"/>
    </row>
    <row r="510" spans="1:19">
      <c r="A510" s="11" t="s">
        <v>330</v>
      </c>
      <c r="B510" t="s">
        <v>40</v>
      </c>
      <c r="E510" s="12"/>
    </row>
    <row r="511" spans="1:19">
      <c r="A511" s="11" t="s">
        <v>331</v>
      </c>
      <c r="B511" t="s">
        <v>40</v>
      </c>
      <c r="E511" s="12"/>
    </row>
    <row r="512" spans="1:19">
      <c r="A512" s="11" t="s">
        <v>332</v>
      </c>
      <c r="B512" t="s">
        <v>40</v>
      </c>
      <c r="E512" s="12"/>
    </row>
    <row r="513" spans="1:22">
      <c r="A513" s="11" t="s">
        <v>333</v>
      </c>
      <c r="B513" t="s">
        <v>40</v>
      </c>
      <c r="E513" s="12"/>
      <c r="Q513" s="2"/>
    </row>
    <row r="514" spans="1:22">
      <c r="A514" s="11" t="s">
        <v>334</v>
      </c>
      <c r="B514" t="s">
        <v>49</v>
      </c>
      <c r="E514" s="12"/>
      <c r="Q514" s="124" t="str">
        <f>IF(C514="","",VLOOKUP(C514,snomed2,3,FALSE))</f>
        <v/>
      </c>
      <c r="T514" s="124" t="str">
        <f>IF(Q514="","",VLOOKUP(Q514,snomed,3,FALSE))</f>
        <v/>
      </c>
    </row>
    <row r="515" spans="1:22">
      <c r="A515" s="14" t="s">
        <v>335</v>
      </c>
      <c r="E515" s="12"/>
      <c r="Q515" s="121"/>
      <c r="T515" s="121"/>
    </row>
    <row r="516" spans="1:22">
      <c r="A516" s="11" t="s">
        <v>336</v>
      </c>
      <c r="B516" t="s">
        <v>337</v>
      </c>
      <c r="E516" s="12"/>
      <c r="P516" s="149"/>
      <c r="Q516" s="121"/>
      <c r="T516" s="121"/>
    </row>
    <row r="517" spans="1:22">
      <c r="A517" s="11" t="s">
        <v>338</v>
      </c>
      <c r="C517" s="1" t="s">
        <v>339</v>
      </c>
      <c r="D517" s="1" t="s">
        <v>340</v>
      </c>
      <c r="E517" s="40" t="s">
        <v>341</v>
      </c>
      <c r="P517" s="1"/>
      <c r="Q517" s="121"/>
      <c r="T517" s="121"/>
    </row>
    <row r="518" spans="1:22">
      <c r="A518" s="11" t="s">
        <v>342</v>
      </c>
      <c r="B518" t="s">
        <v>40</v>
      </c>
      <c r="E518" s="12"/>
      <c r="Q518" s="121"/>
      <c r="T518" s="121"/>
    </row>
    <row r="519" spans="1:22">
      <c r="A519" s="11" t="s">
        <v>343</v>
      </c>
      <c r="B519" t="s">
        <v>49</v>
      </c>
      <c r="E519" s="12"/>
      <c r="Q519" s="122" t="str">
        <f>IF(C519="","",VLOOKUP(C519,snomed2,3,FALSE))</f>
        <v/>
      </c>
      <c r="R519" s="150" t="str">
        <f>IF(D519="","",VLOOKUP(D519,snomed2,3,FALSE))</f>
        <v/>
      </c>
      <c r="S519" s="124" t="str">
        <f>IF(E519="","",VLOOKUP(E519,snomed2,3,FALSE))</f>
        <v/>
      </c>
      <c r="T519" s="27" t="str">
        <f>IF(Q519="","",VLOOKUP(Q519,snomed,3,FALSE))</f>
        <v/>
      </c>
      <c r="U519" s="124" t="str">
        <f>IF(R519="","",VLOOKUP(R519,snomed,3,FALSE))</f>
        <v/>
      </c>
      <c r="V519" s="124" t="str">
        <f>IF(S519="","",VLOOKUP(S519,snomed,3,FALSE))</f>
        <v/>
      </c>
    </row>
    <row r="520" spans="1:22">
      <c r="A520" s="11" t="s">
        <v>344</v>
      </c>
      <c r="B520" t="s">
        <v>49</v>
      </c>
      <c r="E520" s="12"/>
      <c r="Q520" s="122" t="str">
        <f>IF(C520="","",VLOOKUP(C520,snomed2,3,FALSE))</f>
        <v/>
      </c>
      <c r="R520" s="151" t="str">
        <f>IF(D520="","",VLOOKUP(D520,snomed2,3,FALSE))</f>
        <v/>
      </c>
      <c r="S520" s="122" t="str">
        <f>IF(E520="","",VLOOKUP(E520,snomed2,3,FALSE))</f>
        <v/>
      </c>
      <c r="T520" s="27" t="str">
        <f>IF(Q520="","",VLOOKUP(Q520,snomed,3,FALSE))</f>
        <v/>
      </c>
      <c r="U520" s="122" t="str">
        <f>IF(R520="","",VLOOKUP(R520,snomed,3,FALSE))</f>
        <v/>
      </c>
      <c r="V520" s="122" t="str">
        <f>IF(S520="","",VLOOKUP(S520,snomed,3,FALSE))</f>
        <v/>
      </c>
    </row>
    <row r="521" spans="1:22">
      <c r="A521" s="11" t="s">
        <v>345</v>
      </c>
      <c r="B521" t="s">
        <v>49</v>
      </c>
      <c r="E521" s="12"/>
      <c r="Q521" s="122" t="str">
        <f>IF(C521="","",VLOOKUP(C521,snomed2,3,FALSE))</f>
        <v/>
      </c>
      <c r="R521" s="151" t="str">
        <f>IF(D521="","",VLOOKUP(D521,snomed2,3,FALSE))</f>
        <v/>
      </c>
      <c r="S521" s="122" t="str">
        <f>IF(E521="","",VLOOKUP(E521,snomed2,3,FALSE))</f>
        <v/>
      </c>
      <c r="T521" s="27" t="str">
        <f>IF(Q521="","",VLOOKUP(Q521,snomed,3,FALSE))</f>
        <v/>
      </c>
      <c r="U521" s="122" t="str">
        <f>IF(R521="","",VLOOKUP(R521,snomed,3,FALSE))</f>
        <v/>
      </c>
      <c r="V521" s="122" t="str">
        <f>IF(S521="","",VLOOKUP(S521,snomed,3,FALSE))</f>
        <v/>
      </c>
    </row>
    <row r="522" spans="1:22">
      <c r="A522" s="67" t="s">
        <v>346</v>
      </c>
      <c r="B522" t="s">
        <v>49</v>
      </c>
      <c r="E522" s="12"/>
      <c r="Q522" s="122" t="str">
        <f>IF(C522="","",VLOOKUP(C522,snomed2,3,FALSE))</f>
        <v/>
      </c>
      <c r="R522" s="151" t="str">
        <f>IF(D522="","",VLOOKUP(D522,snomed2,3,FALSE))</f>
        <v/>
      </c>
      <c r="S522" s="122" t="str">
        <f>IF(E522="","",VLOOKUP(E522,snomed2,3,FALSE))</f>
        <v/>
      </c>
      <c r="T522" s="27" t="str">
        <f>IF(Q522="","",VLOOKUP(Q522,snomed,3,FALSE))</f>
        <v/>
      </c>
      <c r="U522" s="122" t="str">
        <f>IF(R522="","",VLOOKUP(R522,snomed,3,FALSE))</f>
        <v/>
      </c>
      <c r="V522" s="122" t="str">
        <f>IF(S522="","",VLOOKUP(S522,snomed,3,FALSE))</f>
        <v/>
      </c>
    </row>
    <row r="523" spans="1:22">
      <c r="A523" s="67" t="s">
        <v>347</v>
      </c>
      <c r="B523" t="s">
        <v>49</v>
      </c>
      <c r="E523" s="12"/>
      <c r="Q523" s="122" t="str">
        <f>IF(C523="","",VLOOKUP(C523,snomed2,3,FALSE))</f>
        <v/>
      </c>
      <c r="R523" s="151" t="str">
        <f>IF(D523="","",VLOOKUP(D523,snomed2,3,FALSE))</f>
        <v/>
      </c>
      <c r="S523" s="122" t="str">
        <f>IF(E523="","",VLOOKUP(E523,snomed2,3,FALSE))</f>
        <v/>
      </c>
      <c r="T523" s="27" t="str">
        <f>IF(Q523="","",VLOOKUP(Q523,snomed,3,FALSE))</f>
        <v/>
      </c>
      <c r="U523" s="122" t="str">
        <f>IF(R523="","",VLOOKUP(R523,snomed,3,FALSE))</f>
        <v/>
      </c>
      <c r="V523" s="122" t="str">
        <f>IF(S523="","",VLOOKUP(S523,snomed,3,FALSE))</f>
        <v/>
      </c>
    </row>
    <row r="524" spans="1:22">
      <c r="A524" s="67" t="s">
        <v>348</v>
      </c>
      <c r="B524" t="s">
        <v>43</v>
      </c>
      <c r="E524" s="12"/>
      <c r="Q524" s="121"/>
      <c r="R524" s="152"/>
      <c r="S524" s="121"/>
      <c r="T524" s="2"/>
      <c r="U524" s="121"/>
      <c r="V524" s="121"/>
    </row>
    <row r="525" spans="1:22">
      <c r="A525" s="67" t="s">
        <v>349</v>
      </c>
      <c r="B525" t="s">
        <v>43</v>
      </c>
      <c r="C525" s="96" t="str">
        <f>IF(LEFT($E495,2)&lt;25,"",IF(C524="","",(C524/VLOOKUP($E495,marsal,3,FALSE))-1))</f>
        <v/>
      </c>
      <c r="D525" s="96" t="str">
        <f>IF(LEFT($E495,2)&lt;25,"",IF(D524="","",(D524/VLOOKUP($E495,marsal,3,FALSE))-1))</f>
        <v/>
      </c>
      <c r="E525" s="140" t="str">
        <f>IF(LEFT($E495,2)&lt;25,"",IF(E524="","",(E524/VLOOKUP($E495,marsal,3,FALSE))-1))</f>
        <v/>
      </c>
      <c r="Q525" s="121"/>
      <c r="R525" s="152"/>
      <c r="S525" s="121"/>
      <c r="T525" s="2"/>
      <c r="U525" s="121"/>
      <c r="V525" s="121"/>
    </row>
    <row r="526" spans="1:22">
      <c r="A526" s="67" t="s">
        <v>350</v>
      </c>
      <c r="B526" t="s">
        <v>49</v>
      </c>
      <c r="E526" s="12"/>
      <c r="Q526" s="122" t="str">
        <f>IF(C526="","",VLOOKUP(C526,fostervand_snom,2,FALSE))</f>
        <v/>
      </c>
      <c r="R526" s="122" t="str">
        <f>IF(D526="","",VLOOKUP(D526,fostervand_snom,2,FALSE))</f>
        <v/>
      </c>
      <c r="S526" s="122" t="str">
        <f>IF(E526="","",VLOOKUP(E526,fostervand_snom,2,FALSE))</f>
        <v/>
      </c>
      <c r="T526" s="27" t="str">
        <f>IF(Q526="","",VLOOKUP(Q526,snomed,3,FALSE))</f>
        <v/>
      </c>
      <c r="U526" s="122" t="str">
        <f>IF(R526="","",VLOOKUP(R526,snomed,3,FALSE))</f>
        <v/>
      </c>
      <c r="V526" s="122" t="str">
        <f>IF(S526="","",VLOOKUP(S526,snomed,3,FALSE))</f>
        <v/>
      </c>
    </row>
    <row r="527" spans="1:22">
      <c r="A527" s="68" t="s">
        <v>352</v>
      </c>
      <c r="B527" s="15" t="s">
        <v>40</v>
      </c>
      <c r="C527" s="15"/>
      <c r="D527" s="15"/>
      <c r="E527" s="16"/>
      <c r="Q527" s="123"/>
      <c r="R527" s="153"/>
      <c r="S527" s="123"/>
      <c r="T527" s="156"/>
      <c r="U527" s="123"/>
      <c r="V527" s="123"/>
    </row>
  </sheetData>
  <mergeCells count="14">
    <mergeCell ref="E327:E332"/>
    <mergeCell ref="E47:E52"/>
    <mergeCell ref="E82:E87"/>
    <mergeCell ref="E152:E157"/>
    <mergeCell ref="E187:E192"/>
    <mergeCell ref="E222:E227"/>
    <mergeCell ref="E257:E262"/>
    <mergeCell ref="E292:E297"/>
    <mergeCell ref="E117:E122"/>
    <mergeCell ref="E362:E367"/>
    <mergeCell ref="E397:E402"/>
    <mergeCell ref="E432:E437"/>
    <mergeCell ref="E467:E472"/>
    <mergeCell ref="E502:E507"/>
  </mergeCells>
  <conditionalFormatting sqref="C6:C10 C41:C45 C76:C80 C111:C115 C146:C150 C181:C185 C216:C220 C251:C255 C286:C290 C321:C325 C356:C360 C391:C395 C426:C430 C461:C465 C496:C500">
    <cfRule type="expression" dxfId="87" priority="156">
      <formula>C6=""</formula>
    </cfRule>
  </conditionalFormatting>
  <conditionalFormatting sqref="C19:C24 C54:C59 C89:C94 C124:C129 C159:C164 C194:C199 C229:C234 C264:C269 C299:C304 C334:C339 C369:C374 C404:C409 C439:C444 C474:C479 C509:C514">
    <cfRule type="expression" dxfId="86" priority="155">
      <formula>C19=""</formula>
    </cfRule>
  </conditionalFormatting>
  <conditionalFormatting sqref="C12:C17 C47:C52 C82:C87 C117:C122 C152:C157 C187:C192 C222:C227 C257:C262 C292:C297 C327:C332 C362:C367 C397:C402 C432:C437 C467:C472 C502:C507">
    <cfRule type="expression" dxfId="85" priority="152">
      <formula>C12=""</formula>
    </cfRule>
  </conditionalFormatting>
  <conditionalFormatting sqref="C5">
    <cfRule type="expression" dxfId="84" priority="137">
      <formula>C5=""</formula>
    </cfRule>
  </conditionalFormatting>
  <conditionalFormatting sqref="C40">
    <cfRule type="expression" dxfId="83" priority="133">
      <formula>C40=""</formula>
    </cfRule>
  </conditionalFormatting>
  <conditionalFormatting sqref="C75">
    <cfRule type="expression" dxfId="82" priority="130">
      <formula>C75=""</formula>
    </cfRule>
  </conditionalFormatting>
  <conditionalFormatting sqref="C110 C145 C180 C215 C250 C285 C320 C355 C390 C425 C460 C495">
    <cfRule type="expression" dxfId="81" priority="129">
      <formula>C110=""</formula>
    </cfRule>
  </conditionalFormatting>
  <conditionalFormatting sqref="E5">
    <cfRule type="expression" dxfId="80" priority="111">
      <formula>B5="SM"</formula>
    </cfRule>
    <cfRule type="expression" dxfId="79" priority="112">
      <formula>B5="UL"</formula>
    </cfRule>
  </conditionalFormatting>
  <conditionalFormatting sqref="E40">
    <cfRule type="expression" dxfId="78" priority="101">
      <formula>B40="SM"</formula>
    </cfRule>
    <cfRule type="expression" dxfId="77" priority="102">
      <formula>B40="UL"</formula>
    </cfRule>
  </conditionalFormatting>
  <conditionalFormatting sqref="E75">
    <cfRule type="expression" dxfId="76" priority="99">
      <formula>B75="SM"</formula>
    </cfRule>
    <cfRule type="expression" dxfId="75" priority="100">
      <formula>B75="UL"</formula>
    </cfRule>
  </conditionalFormatting>
  <conditionalFormatting sqref="E110">
    <cfRule type="expression" dxfId="74" priority="97">
      <formula>B110="SM"</formula>
    </cfRule>
    <cfRule type="expression" dxfId="73" priority="98">
      <formula>B110="UL"</formula>
    </cfRule>
  </conditionalFormatting>
  <conditionalFormatting sqref="E145">
    <cfRule type="expression" dxfId="72" priority="95">
      <formula>B145="SM"</formula>
    </cfRule>
    <cfRule type="expression" dxfId="71" priority="96">
      <formula>B145="UL"</formula>
    </cfRule>
  </conditionalFormatting>
  <conditionalFormatting sqref="E180">
    <cfRule type="expression" dxfId="70" priority="93">
      <formula>B180="SM"</formula>
    </cfRule>
    <cfRule type="expression" dxfId="69" priority="94">
      <formula>B180="UL"</formula>
    </cfRule>
  </conditionalFormatting>
  <conditionalFormatting sqref="E215">
    <cfRule type="expression" dxfId="68" priority="91">
      <formula>B215="SM"</formula>
    </cfRule>
    <cfRule type="expression" dxfId="67" priority="92">
      <formula>B215="UL"</formula>
    </cfRule>
  </conditionalFormatting>
  <conditionalFormatting sqref="E250">
    <cfRule type="expression" dxfId="66" priority="89">
      <formula>B250="SM"</formula>
    </cfRule>
    <cfRule type="expression" dxfId="65" priority="90">
      <formula>B250="UL"</formula>
    </cfRule>
  </conditionalFormatting>
  <conditionalFormatting sqref="E285">
    <cfRule type="expression" dxfId="64" priority="87">
      <formula>B285="SM"</formula>
    </cfRule>
    <cfRule type="expression" dxfId="63" priority="88">
      <formula>B285="UL"</formula>
    </cfRule>
  </conditionalFormatting>
  <conditionalFormatting sqref="E320 E355 E390 E425 E460 E495">
    <cfRule type="expression" dxfId="62" priority="85">
      <formula>B320="SM"</formula>
    </cfRule>
    <cfRule type="expression" dxfId="61" priority="86">
      <formula>B320="UL"</formula>
    </cfRule>
  </conditionalFormatting>
  <conditionalFormatting sqref="D27:D37">
    <cfRule type="expression" dxfId="60" priority="74">
      <formula>$C$26&lt;2</formula>
    </cfRule>
  </conditionalFormatting>
  <conditionalFormatting sqref="E27:E37">
    <cfRule type="expression" dxfId="59" priority="73">
      <formula>$C$26&lt;3</formula>
    </cfRule>
  </conditionalFormatting>
  <conditionalFormatting sqref="C26">
    <cfRule type="expression" dxfId="58" priority="52">
      <formula>$C$26=""</formula>
    </cfRule>
  </conditionalFormatting>
  <conditionalFormatting sqref="D62:D72">
    <cfRule type="expression" dxfId="57" priority="51">
      <formula>$C$61&lt;2</formula>
    </cfRule>
  </conditionalFormatting>
  <conditionalFormatting sqref="E62:E72">
    <cfRule type="expression" dxfId="56" priority="50">
      <formula>$C$61&lt;3</formula>
    </cfRule>
  </conditionalFormatting>
  <conditionalFormatting sqref="C61">
    <cfRule type="expression" dxfId="55" priority="49">
      <formula>$C$61=""</formula>
    </cfRule>
  </conditionalFormatting>
  <conditionalFormatting sqref="D97:D107">
    <cfRule type="expression" dxfId="54" priority="48">
      <formula>$C$96&lt;2</formula>
    </cfRule>
  </conditionalFormatting>
  <conditionalFormatting sqref="E97:E107">
    <cfRule type="expression" dxfId="53" priority="47">
      <formula>$C$96&lt;3</formula>
    </cfRule>
  </conditionalFormatting>
  <conditionalFormatting sqref="C96">
    <cfRule type="expression" dxfId="52" priority="46">
      <formula>$C$96=""</formula>
    </cfRule>
  </conditionalFormatting>
  <conditionalFormatting sqref="D132:D142">
    <cfRule type="expression" dxfId="51" priority="45">
      <formula>$C$131&lt;2</formula>
    </cfRule>
  </conditionalFormatting>
  <conditionalFormatting sqref="E132:E142">
    <cfRule type="expression" dxfId="50" priority="44">
      <formula>$C$131&lt;3</formula>
    </cfRule>
  </conditionalFormatting>
  <conditionalFormatting sqref="C131">
    <cfRule type="expression" dxfId="49" priority="43">
      <formula>$C$131=""</formula>
    </cfRule>
  </conditionalFormatting>
  <conditionalFormatting sqref="D167:D177">
    <cfRule type="expression" dxfId="48" priority="42">
      <formula>$C$166&lt;2</formula>
    </cfRule>
  </conditionalFormatting>
  <conditionalFormatting sqref="E167:E177">
    <cfRule type="expression" dxfId="47" priority="41">
      <formula>$C$166&lt;3</formula>
    </cfRule>
  </conditionalFormatting>
  <conditionalFormatting sqref="C166">
    <cfRule type="expression" dxfId="46" priority="40">
      <formula>$C$166=""</formula>
    </cfRule>
  </conditionalFormatting>
  <conditionalFormatting sqref="D202:D212">
    <cfRule type="expression" dxfId="45" priority="39">
      <formula>$C$201&lt;2</formula>
    </cfRule>
  </conditionalFormatting>
  <conditionalFormatting sqref="E202:E212">
    <cfRule type="expression" dxfId="44" priority="38">
      <formula>$C$201&lt;3</formula>
    </cfRule>
  </conditionalFormatting>
  <conditionalFormatting sqref="C201">
    <cfRule type="expression" dxfId="43" priority="37">
      <formula>$C$201=""</formula>
    </cfRule>
  </conditionalFormatting>
  <conditionalFormatting sqref="D237:D247">
    <cfRule type="expression" dxfId="42" priority="36">
      <formula>$C$236&lt;2</formula>
    </cfRule>
  </conditionalFormatting>
  <conditionalFormatting sqref="E237:E247">
    <cfRule type="expression" dxfId="41" priority="35">
      <formula>$C$236&lt;3</formula>
    </cfRule>
  </conditionalFormatting>
  <conditionalFormatting sqref="C236">
    <cfRule type="expression" dxfId="40" priority="34">
      <formula>$C$236=""</formula>
    </cfRule>
  </conditionalFormatting>
  <conditionalFormatting sqref="D272:D282">
    <cfRule type="expression" dxfId="39" priority="33">
      <formula>$C$271&lt;2</formula>
    </cfRule>
  </conditionalFormatting>
  <conditionalFormatting sqref="E272:E282">
    <cfRule type="expression" dxfId="38" priority="32">
      <formula>$C$271&lt;3</formula>
    </cfRule>
  </conditionalFormatting>
  <conditionalFormatting sqref="C271">
    <cfRule type="expression" dxfId="37" priority="31">
      <formula>$C$271=""</formula>
    </cfRule>
  </conditionalFormatting>
  <conditionalFormatting sqref="D307:D317">
    <cfRule type="expression" dxfId="36" priority="30">
      <formula>$C$306&lt;2</formula>
    </cfRule>
  </conditionalFormatting>
  <conditionalFormatting sqref="E307:E317">
    <cfRule type="expression" dxfId="35" priority="29">
      <formula>$C$306&lt;3</formula>
    </cfRule>
  </conditionalFormatting>
  <conditionalFormatting sqref="C306">
    <cfRule type="expression" dxfId="34" priority="28">
      <formula>$C$306=""</formula>
    </cfRule>
  </conditionalFormatting>
  <conditionalFormatting sqref="D342:D352">
    <cfRule type="expression" dxfId="33" priority="24">
      <formula>$C$341&lt;2</formula>
    </cfRule>
  </conditionalFormatting>
  <conditionalFormatting sqref="E342:E352">
    <cfRule type="expression" dxfId="32" priority="23">
      <formula>$C$341&lt;3</formula>
    </cfRule>
  </conditionalFormatting>
  <conditionalFormatting sqref="C341">
    <cfRule type="expression" dxfId="31" priority="22">
      <formula>$C$341=""</formula>
    </cfRule>
  </conditionalFormatting>
  <conditionalFormatting sqref="D377:D387">
    <cfRule type="expression" dxfId="30" priority="21">
      <formula>$C$376&lt;2</formula>
    </cfRule>
  </conditionalFormatting>
  <conditionalFormatting sqref="E377:E387">
    <cfRule type="expression" dxfId="29" priority="20">
      <formula>$C$376&lt;3</formula>
    </cfRule>
  </conditionalFormatting>
  <conditionalFormatting sqref="C376">
    <cfRule type="expression" dxfId="28" priority="19">
      <formula>$C$376=""</formula>
    </cfRule>
  </conditionalFormatting>
  <conditionalFormatting sqref="D412:D422">
    <cfRule type="expression" dxfId="27" priority="18">
      <formula>$C$411&lt;2</formula>
    </cfRule>
  </conditionalFormatting>
  <conditionalFormatting sqref="E412:E422">
    <cfRule type="expression" dxfId="26" priority="17">
      <formula>$C$411&lt;3</formula>
    </cfRule>
  </conditionalFormatting>
  <conditionalFormatting sqref="C411">
    <cfRule type="expression" dxfId="25" priority="16">
      <formula>$C$411=""</formula>
    </cfRule>
  </conditionalFormatting>
  <conditionalFormatting sqref="D447:D457">
    <cfRule type="expression" dxfId="24" priority="15">
      <formula>$C$446&lt;2</formula>
    </cfRule>
  </conditionalFormatting>
  <conditionalFormatting sqref="E447:E457">
    <cfRule type="expression" dxfId="23" priority="14">
      <formula>$C$446&lt;3</formula>
    </cfRule>
  </conditionalFormatting>
  <conditionalFormatting sqref="C446">
    <cfRule type="expression" dxfId="22" priority="13">
      <formula>$C$446=""</formula>
    </cfRule>
  </conditionalFormatting>
  <conditionalFormatting sqref="D482:D492">
    <cfRule type="expression" dxfId="21" priority="12">
      <formula>$C$481&lt;2</formula>
    </cfRule>
  </conditionalFormatting>
  <conditionalFormatting sqref="E482:E492">
    <cfRule type="expression" dxfId="20" priority="11">
      <formula>$C$481&lt;3</formula>
    </cfRule>
  </conditionalFormatting>
  <conditionalFormatting sqref="C481">
    <cfRule type="expression" dxfId="19" priority="10">
      <formula>$C$481=""</formula>
    </cfRule>
  </conditionalFormatting>
  <conditionalFormatting sqref="D517:D527">
    <cfRule type="expression" dxfId="18" priority="9">
      <formula>$C$516&lt;2</formula>
    </cfRule>
  </conditionalFormatting>
  <conditionalFormatting sqref="E517:E527">
    <cfRule type="expression" dxfId="17" priority="8">
      <formula>$C$516&lt;3</formula>
    </cfRule>
  </conditionalFormatting>
  <conditionalFormatting sqref="C516">
    <cfRule type="expression" dxfId="16" priority="7">
      <formula>$C$516=""</formula>
    </cfRule>
  </conditionalFormatting>
  <dataValidations count="3">
    <dataValidation type="date" allowBlank="1" showInputMessage="1" showErrorMessage="1" sqref="D40 D75 D5 D110 D145 D180 D215 D250 D285 D320 D355 D390 D425 D460 D495" xr:uid="{52F47059-DC3C-4051-81C6-EF86E03E43CA}">
      <formula1>34892</formula1>
      <formula2>75074</formula2>
    </dataValidation>
    <dataValidation type="list" allowBlank="1" showInputMessage="1" showErrorMessage="1" sqref="C5 C40 C75 C110 C145 C180 C215 C250 C285 C320 C355 C390 C425 C460 C495" xr:uid="{51A41152-A7B5-437E-8413-C52CD6254BA9}">
      <formula1>aftaler</formula1>
    </dataValidation>
    <dataValidation allowBlank="1" showInputMessage="1" showErrorMessage="1" sqref="A21" xr:uid="{6EC44F0B-3BCC-4709-94C3-8190C31E6046}"/>
  </dataValidations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57" id="{DA12F595-C00F-402A-BA8A-AC285DC9D180}">
            <xm:f>Datavalidering!$H$34="VJ"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E12:E17</xm:sqref>
        </x14:conditionalFormatting>
        <x14:conditionalFormatting xmlns:xm="http://schemas.microsoft.com/office/excel/2006/main">
          <x14:cfRule type="expression" priority="158" id="{2B64E562-37EC-4377-8BF0-55628ABCF853}">
            <xm:f>Datavalidering!$H$35="VJ"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E47</xm:sqref>
        </x14:conditionalFormatting>
        <x14:conditionalFormatting xmlns:xm="http://schemas.microsoft.com/office/excel/2006/main">
          <x14:cfRule type="expression" priority="159" id="{62B65D87-7472-45DC-91E6-5DDA46C13749}">
            <xm:f>Datavalidering!$H$36="VJ"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E82</xm:sqref>
        </x14:conditionalFormatting>
        <x14:conditionalFormatting xmlns:xm="http://schemas.microsoft.com/office/excel/2006/main">
          <x14:cfRule type="expression" priority="160" id="{C8AF8C8A-EA19-4BD4-AE2E-4FADCED59B98}">
            <xm:f>Datavalidering!$H$37="VJ"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E117</xm:sqref>
        </x14:conditionalFormatting>
        <x14:conditionalFormatting xmlns:xm="http://schemas.microsoft.com/office/excel/2006/main">
          <x14:cfRule type="expression" priority="161" id="{D5BEBEC4-9AFF-4EF5-BA4F-579024FDD252}">
            <xm:f>Datavalidering!$H$38="VJ"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E152</xm:sqref>
        </x14:conditionalFormatting>
        <x14:conditionalFormatting xmlns:xm="http://schemas.microsoft.com/office/excel/2006/main">
          <x14:cfRule type="expression" priority="162" id="{DF7B107A-9E21-4D03-BA36-690E883311B8}">
            <xm:f>Datavalidering!$H$39="VJ"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E187</xm:sqref>
        </x14:conditionalFormatting>
        <x14:conditionalFormatting xmlns:xm="http://schemas.microsoft.com/office/excel/2006/main">
          <x14:cfRule type="expression" priority="163" id="{91A448E1-D95B-41F6-BE2A-8B186FE1BA6B}">
            <xm:f>Datavalidering!$H$40="VJ"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E222</xm:sqref>
        </x14:conditionalFormatting>
        <x14:conditionalFormatting xmlns:xm="http://schemas.microsoft.com/office/excel/2006/main">
          <x14:cfRule type="expression" priority="164" id="{9BF11DEE-061C-4DFE-BCEC-9C6DAA7FC1A0}">
            <xm:f>Datavalidering!$H$41="VJ"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E257</xm:sqref>
        </x14:conditionalFormatting>
        <x14:conditionalFormatting xmlns:xm="http://schemas.microsoft.com/office/excel/2006/main">
          <x14:cfRule type="expression" priority="171" id="{783C1508-E7C3-4758-88D4-748C1F839CA4}">
            <xm:f>Datavalidering!$H$42="VJ"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E292</xm:sqref>
        </x14:conditionalFormatting>
        <x14:conditionalFormatting xmlns:xm="http://schemas.microsoft.com/office/excel/2006/main">
          <x14:cfRule type="expression" priority="6" id="{DBC9B3D4-0CB8-466A-8EC2-9B3480427FBC}">
            <xm:f>Datavalidering!$H$43="VJ"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E327</xm:sqref>
        </x14:conditionalFormatting>
        <x14:conditionalFormatting xmlns:xm="http://schemas.microsoft.com/office/excel/2006/main">
          <x14:cfRule type="expression" priority="5" id="{DF78D43A-377C-4F1C-88CC-CDB2050BE185}">
            <xm:f>Datavalidering!$H$44="VJ"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E362</xm:sqref>
        </x14:conditionalFormatting>
        <x14:conditionalFormatting xmlns:xm="http://schemas.microsoft.com/office/excel/2006/main">
          <x14:cfRule type="expression" priority="4" id="{3D3990F0-B013-46E1-802A-F9E79E7C3D1F}">
            <xm:f>Datavalidering!$H$45="VJ"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E397</xm:sqref>
        </x14:conditionalFormatting>
        <x14:conditionalFormatting xmlns:xm="http://schemas.microsoft.com/office/excel/2006/main">
          <x14:cfRule type="expression" priority="3" id="{259BA143-7F95-46FB-B4A7-998B984646E8}">
            <xm:f>Datavalidering!$H$46="VJ"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E432</xm:sqref>
        </x14:conditionalFormatting>
        <x14:conditionalFormatting xmlns:xm="http://schemas.microsoft.com/office/excel/2006/main">
          <x14:cfRule type="expression" priority="2" id="{51D921CD-C45C-4D5C-9334-561397F8E993}">
            <xm:f>Datavalidering!$H$47="VJ"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E467</xm:sqref>
        </x14:conditionalFormatting>
        <x14:conditionalFormatting xmlns:xm="http://schemas.microsoft.com/office/excel/2006/main">
          <x14:cfRule type="expression" priority="1" id="{69E3C834-5343-4BDC-808F-F141098A8C88}">
            <xm:f>Datavalidering!$H$48="VJ"</xm:f>
            <x14:dxf>
              <font>
                <color rgb="FF9C0006"/>
              </font>
              <fill>
                <patternFill patternType="solid">
                  <bgColor theme="1" tint="0.499984740745262"/>
                </patternFill>
              </fill>
            </x14:dxf>
          </x14:cfRule>
          <xm:sqref>E502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1">
        <x14:dataValidation type="list" allowBlank="1" showInputMessage="1" showErrorMessage="1" xr:uid="{849EA9C5-3B2F-49C5-838D-0A2799AC8E64}">
          <x14:formula1>
            <xm:f>Datavalidering!$BJ$3:$BJ$4</xm:f>
          </x14:formula1>
          <xm:sqref>C24 C59 C94 C129 C164 C199 C234 C269 C304 C339 C374 C409 C444 C479 C514</xm:sqref>
        </x14:dataValidation>
        <x14:dataValidation type="list" allowBlank="1" showInputMessage="1" showErrorMessage="1" xr:uid="{E5CBDC62-247B-4117-9D56-7FC5659ACCF7}">
          <x14:formula1>
            <xm:f>Datavalidering!$BL$3:$BL$5</xm:f>
          </x14:formula1>
          <xm:sqref>C30:E30 C240:E240 C275:E275 C310:E310 C65:E65 C100:E100 C135:E135 C170:E170 C205:E205 C485:E485 C450:E450 C345:E345 C380:E380 C415:E415 C520:E520</xm:sqref>
        </x14:dataValidation>
        <x14:dataValidation type="list" allowBlank="1" showInputMessage="1" showErrorMessage="1" xr:uid="{C08FB4F3-2603-45E9-A3FC-27EA02A0A23E}">
          <x14:formula1>
            <xm:f>Datavalidering!$BK$3:$BK$6</xm:f>
          </x14:formula1>
          <xm:sqref>C31:E32 C241:E242 C276:E277 C311:E312 C66:E67 C101:E102 C136:E137 C171:E172 C206:E207 C486:E487 C451:E452 C346:E347 C381:E382 C416:E417 C521:E522</xm:sqref>
        </x14:dataValidation>
        <x14:dataValidation type="list" allowBlank="1" showInputMessage="1" showErrorMessage="1" xr:uid="{4FBFC0BC-86D7-4AD4-AF2F-BE723466C893}">
          <x14:formula1>
            <xm:f>Datavalidering!$BN$3:$BN$4</xm:f>
          </x14:formula1>
          <xm:sqref>C33:E33 C243:E243 C278:E278 C313:E313 C68:E68 C103:E103 C138:E138 C173:E173 C208:E208 C488:E488 C453:E453 C348:E348 C383:E383 C418:E418 C523:E523</xm:sqref>
        </x14:dataValidation>
        <x14:dataValidation type="list" allowBlank="1" showInputMessage="1" showErrorMessage="1" xr:uid="{AFECFBDC-3921-4FAC-8668-CE657CA445A6}">
          <x14:formula1>
            <xm:f>Datavalidering!$BO$3:$BO$5</xm:f>
          </x14:formula1>
          <xm:sqref>C36:E36 C246:E246 C281:E281 C316:E316 C71:E71 C106:E106 C141:E141 C176:E176 C211:E211 C491:E491 C456:E456 C351:E351 C386:E386 C421:E421 C526:E526</xm:sqref>
        </x14:dataValidation>
        <x14:dataValidation type="list" allowBlank="1" showInputMessage="1" showErrorMessage="1" xr:uid="{617FBCD1-3831-4E14-958F-61B9DE1E4EAC}">
          <x14:formula1>
            <xm:f>Datavalidering!$BM$3:$BM$4</xm:f>
          </x14:formula1>
          <xm:sqref>C29:E29 C239:E239 C274:E274 C309:E309 C64:E64 C99:E99 C134:E134 C169:E169 C204:E204 C484:E484 C449:E449 C344:E344 C379:E379 C414:E414 C519:E519</xm:sqref>
        </x14:dataValidation>
        <x14:dataValidation type="list" errorStyle="warning" allowBlank="1" xr:uid="{741B6561-4B74-42EE-B34A-7DA4B316C7D9}">
          <x14:formula1>
            <xm:f>Datavalidering!$BT$3:$BT$7</xm:f>
          </x14:formula1>
          <xm:sqref>C19 C509 C474 C439 C404 C369 C334 C299 C264 C229 C194 C159 C124 C89 C54</xm:sqref>
        </x14:dataValidation>
        <x14:dataValidation type="list" errorStyle="warning" allowBlank="1" xr:uid="{13C65FC7-0FB9-4C34-9486-9086D0A12D45}">
          <x14:formula1>
            <xm:f>Datavalidering!$BR$3:$BR$7</xm:f>
          </x14:formula1>
          <xm:sqref>C20 C510 C475 C440 C405 C370 C335 C300 C265 C230 C195 C160 C125 C90 C55</xm:sqref>
        </x14:dataValidation>
        <x14:dataValidation type="list" errorStyle="warning" allowBlank="1" xr:uid="{FEA404C2-00F9-4326-A647-66E8D3FA4CD6}">
          <x14:formula1>
            <xm:f>Datavalidering!$BU$3:$BU$8</xm:f>
          </x14:formula1>
          <xm:sqref>C21 C511 C476 C441 C406 C371 C336 C301 C266 C231 C196 C161 C126 C91 C56</xm:sqref>
        </x14:dataValidation>
        <x14:dataValidation type="list" errorStyle="warning" allowBlank="1" xr:uid="{79388EDA-C401-4A7C-9C78-FDEC9A4130F1}">
          <x14:formula1>
            <xm:f>Datavalidering!$BS$3:$BS$7</xm:f>
          </x14:formula1>
          <xm:sqref>C22 C512 C477 C442 C407 C372 C337 C302 C267 C232 C197 C162 C127 C92 C57</xm:sqref>
        </x14:dataValidation>
        <x14:dataValidation type="list" errorStyle="warning" allowBlank="1" xr:uid="{7F9B3739-90F5-4419-99CB-6E5331C310D0}">
          <x14:formula1>
            <xm:f>Datavalidering!$BQ$3:$BQ$7</xm:f>
          </x14:formula1>
          <xm:sqref>C23 C513 C478 C443 C408 C373 C338 C303 C268 C233 C198 C163 C128 C93 C58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8BA8BE-F12F-4FD1-9567-23F4D4C86253}">
  <sheetPr>
    <tabColor theme="9"/>
  </sheetPr>
  <dimension ref="B1:Y31"/>
  <sheetViews>
    <sheetView workbookViewId="0">
      <selection activeCell="D4" sqref="D4"/>
    </sheetView>
  </sheetViews>
  <sheetFormatPr defaultRowHeight="15" customHeight="1"/>
  <cols>
    <col min="2" max="2" width="14.5703125" customWidth="1"/>
    <col min="3" max="3" width="30.7109375" customWidth="1"/>
    <col min="4" max="4" width="21" customWidth="1"/>
    <col min="5" max="6" width="16.85546875" customWidth="1"/>
    <col min="7" max="7" width="15" customWidth="1"/>
    <col min="8" max="8" width="13.7109375" customWidth="1"/>
    <col min="9" max="9" width="15.85546875" customWidth="1"/>
    <col min="10" max="10" width="19.42578125" customWidth="1"/>
    <col min="11" max="11" width="17.28515625" customWidth="1"/>
    <col min="17" max="17" width="11.140625" bestFit="1" customWidth="1"/>
    <col min="21" max="21" width="21.42578125" customWidth="1"/>
    <col min="22" max="22" width="14.85546875" customWidth="1"/>
  </cols>
  <sheetData>
    <row r="1" spans="2:25">
      <c r="H1" s="165" t="s">
        <v>367</v>
      </c>
      <c r="I1" s="165"/>
      <c r="J1" s="165" t="s">
        <v>368</v>
      </c>
      <c r="K1" s="165"/>
      <c r="N1" s="167" t="s">
        <v>369</v>
      </c>
      <c r="O1" s="167"/>
      <c r="U1" s="1" t="s">
        <v>370</v>
      </c>
    </row>
    <row r="2" spans="2:25">
      <c r="B2" s="1" t="s">
        <v>371</v>
      </c>
      <c r="C2" s="1" t="s">
        <v>372</v>
      </c>
      <c r="D2" s="1" t="s">
        <v>28</v>
      </c>
      <c r="E2" s="1" t="s">
        <v>373</v>
      </c>
      <c r="F2" s="1" t="s">
        <v>374</v>
      </c>
      <c r="G2" s="1" t="s">
        <v>375</v>
      </c>
      <c r="H2" s="8" t="s">
        <v>376</v>
      </c>
      <c r="I2" s="8" t="s">
        <v>377</v>
      </c>
      <c r="J2" s="8" t="s">
        <v>376</v>
      </c>
      <c r="K2" s="8" t="s">
        <v>377</v>
      </c>
    </row>
    <row r="3" spans="2:25">
      <c r="B3" s="38"/>
      <c r="C3" s="37" t="s">
        <v>378</v>
      </c>
      <c r="D3" s="36">
        <f>Vandrejournal!C7</f>
        <v>45672</v>
      </c>
      <c r="E3" s="37" t="s">
        <v>379</v>
      </c>
      <c r="F3" s="37"/>
      <c r="G3" s="37">
        <f ca="1">Datavalidering!R45</f>
        <v>0</v>
      </c>
      <c r="H3" s="37">
        <v>0</v>
      </c>
      <c r="I3" s="37">
        <v>0</v>
      </c>
      <c r="J3" s="37">
        <v>0</v>
      </c>
      <c r="K3" s="37">
        <v>0</v>
      </c>
      <c r="M3" s="37" t="s">
        <v>380</v>
      </c>
      <c r="N3" s="37" t="s">
        <v>381</v>
      </c>
      <c r="O3" s="37" t="s">
        <v>308</v>
      </c>
      <c r="U3" s="37" t="s">
        <v>27</v>
      </c>
      <c r="V3" s="37" t="s">
        <v>382</v>
      </c>
    </row>
    <row r="4" spans="2:25">
      <c r="B4" s="30" t="s">
        <v>383</v>
      </c>
      <c r="C4" t="s">
        <v>30</v>
      </c>
      <c r="D4" s="19">
        <f>D3+8*7+1</f>
        <v>45729</v>
      </c>
      <c r="E4" t="str">
        <f>IF($D4="","",CONCATENATE(I4,"+",(H4-I4*7)))</f>
        <v>8+1</v>
      </c>
      <c r="F4" t="str" cm="1">
        <f t="array" aca="1" ref="F4" ca="1">_xlfn.IFS(D4=0,"",ulga=0,"SM",ulga&lt;=D4,"UL",ulga&gt;D4,"SM")</f>
        <v>UL</v>
      </c>
      <c r="G4" t="str" cm="1">
        <f t="array" aca="1" ref="G4" ca="1">_xlfn.IFS(F4="SM","",$D4="","",F4="UL",CONCATENATE(K4,"+",(J4-K4*7)))</f>
        <v>8+1</v>
      </c>
      <c r="H4">
        <f>IF(D4="","",D4-$D$3)</f>
        <v>57</v>
      </c>
      <c r="I4">
        <f>IF(D4="","",FLOOR((H4/7),1))</f>
        <v>8</v>
      </c>
      <c r="J4">
        <f ca="1">IF(D4="","",D4-$D$3+$G$3)</f>
        <v>57</v>
      </c>
      <c r="K4">
        <f ca="1">IF(D4="","",FLOOR((J4/7),1))</f>
        <v>8</v>
      </c>
      <c r="M4" t="str">
        <f>IF(Svangerskabsjournal!C5="","","X")</f>
        <v>X</v>
      </c>
      <c r="N4" t="str">
        <f ca="1">IF(ISNUMBER(MATCH(C4,vj_counter,0))=TRUE,"X","")</f>
        <v>X</v>
      </c>
      <c r="O4" t="str">
        <f ca="1">IF(ISNUMBER(MATCH(C4,ml_counter,0))=TRUE,"X","")</f>
        <v>X</v>
      </c>
      <c r="Q4" s="41" t="s">
        <v>305</v>
      </c>
      <c r="R4" s="41" t="s">
        <v>305</v>
      </c>
      <c r="S4" s="41" t="s">
        <v>305</v>
      </c>
      <c r="T4" s="41" t="s">
        <v>305</v>
      </c>
      <c r="U4" s="94" t="str">
        <f>IF(D4="","",CONCATENATE(TEXT(D4+V4,"ååååmmddttmmss"),"+0200"))</f>
        <v>20250313143030+0200</v>
      </c>
      <c r="V4" s="95">
        <v>0.60451388888888891</v>
      </c>
      <c r="Y4" s="19"/>
    </row>
    <row r="5" spans="2:25">
      <c r="B5" s="30" t="s">
        <v>383</v>
      </c>
      <c r="C5" t="s">
        <v>384</v>
      </c>
      <c r="D5" s="19"/>
      <c r="E5" t="str">
        <f t="shared" ref="E5:E26" si="0">IF(D5="","",CONCATENATE(I5,"+",(H5-I5*7)))</f>
        <v/>
      </c>
      <c r="F5" t="str" cm="1">
        <f t="array" aca="1" ref="F5" ca="1">_xlfn.IFS(D5=0,"",ulga=0,"SM",ulga&lt;=D5,"UL",ulga&gt;D5,"SM")</f>
        <v/>
      </c>
      <c r="G5" t="str" cm="1">
        <f t="array" aca="1" ref="G5" ca="1">_xlfn.IFS(F5="SM","",$D5="","",F5="UL",CONCATENATE(K5,"+",(J5-K5*7)))</f>
        <v/>
      </c>
      <c r="H5" t="str">
        <f t="shared" ref="H5:H26" si="1">IF(D5="","",D5-$D$3)</f>
        <v/>
      </c>
      <c r="I5" t="str">
        <f t="shared" ref="I5:I26" si="2">IF(D5="","",FLOOR((H5/7),1))</f>
        <v/>
      </c>
      <c r="J5" t="str">
        <f t="shared" ref="J5:J25" si="3">IF(D5="","",D5-$D$3+$G$3)</f>
        <v/>
      </c>
      <c r="K5" t="str">
        <f t="shared" ref="K5:K25" si="4">IF(D5="","",FLOOR((J5/7),1))</f>
        <v/>
      </c>
      <c r="M5" s="26"/>
      <c r="N5" t="str">
        <f ca="1">IF(ISNUMBER(MATCH(C5,vj_counter,0))=TRUE,"X","")</f>
        <v/>
      </c>
      <c r="O5" t="str">
        <f ca="1">IF(ISNUMBER(MATCH(C5,ml_counter,0))=TRUE,"X","")</f>
        <v/>
      </c>
      <c r="Q5" s="41" t="s">
        <v>305</v>
      </c>
      <c r="R5" s="41" t="s">
        <v>305</v>
      </c>
      <c r="S5" s="41" t="s">
        <v>305</v>
      </c>
      <c r="T5" s="41" t="s">
        <v>305</v>
      </c>
      <c r="U5" s="94" t="str">
        <f t="shared" ref="U5:U26" si="5">IF(D5="","",CONCATENATE(TEXT(D5+V5,"ååååmmddttmmss"),"+0200"))</f>
        <v/>
      </c>
      <c r="V5" s="95">
        <v>0.64618055555555598</v>
      </c>
      <c r="Y5" s="19"/>
    </row>
    <row r="6" spans="2:25">
      <c r="B6" s="30" t="s">
        <v>385</v>
      </c>
      <c r="C6" t="s">
        <v>386</v>
      </c>
      <c r="D6" s="19"/>
      <c r="E6" t="str">
        <f t="shared" si="0"/>
        <v/>
      </c>
      <c r="F6" t="str" cm="1">
        <f t="array" aca="1" ref="F6" ca="1">_xlfn.IFS(D6=0,"",ulga=0,"SM",ulga&lt;=D6,"UL",ulga&gt;D6,"SM")</f>
        <v/>
      </c>
      <c r="G6" t="str" cm="1">
        <f t="array" aca="1" ref="G6" ca="1">_xlfn.IFS(F6="SM","",$D6="","",F6="UL",CONCATENATE(K6,"+",(J6-K6*7)))</f>
        <v/>
      </c>
      <c r="H6" t="str">
        <f t="shared" si="1"/>
        <v/>
      </c>
      <c r="I6" t="str">
        <f t="shared" si="2"/>
        <v/>
      </c>
      <c r="J6" t="str">
        <f t="shared" si="3"/>
        <v/>
      </c>
      <c r="K6" t="str">
        <f t="shared" si="4"/>
        <v/>
      </c>
      <c r="M6" s="26"/>
      <c r="N6" t="str">
        <f ca="1">IF(ISNUMBER(MATCH(C6,vj_counter,0))=TRUE,"X","")</f>
        <v/>
      </c>
      <c r="O6" t="str">
        <f ca="1">IF(ISNUMBER(MATCH(C6,ml_counter,0))=TRUE,"X","")</f>
        <v/>
      </c>
      <c r="Q6" s="41" t="s">
        <v>305</v>
      </c>
      <c r="R6" s="41" t="s">
        <v>305</v>
      </c>
      <c r="S6" s="41" t="s">
        <v>305</v>
      </c>
      <c r="T6" s="41" t="s">
        <v>305</v>
      </c>
      <c r="U6" s="94" t="str">
        <f t="shared" si="5"/>
        <v/>
      </c>
      <c r="V6" s="95">
        <v>0.68784722222222205</v>
      </c>
      <c r="Y6" s="19"/>
    </row>
    <row r="7" spans="2:25">
      <c r="B7" s="30" t="s">
        <v>383</v>
      </c>
      <c r="C7" t="s">
        <v>387</v>
      </c>
      <c r="D7" s="19"/>
      <c r="E7" t="str">
        <f t="shared" si="0"/>
        <v/>
      </c>
      <c r="F7" t="str" cm="1">
        <f t="array" aca="1" ref="F7" ca="1">_xlfn.IFS(D7=0,"",ulga=0,"SM",ulga&lt;=D7,"UL",ulga&gt;D7,"SM")</f>
        <v/>
      </c>
      <c r="G7" t="str" cm="1">
        <f t="array" aca="1" ref="G7" ca="1">_xlfn.IFS(F7="SM","",$D7="","",F7="UL",CONCATENATE(K7,"+",(J7-K7*7)))</f>
        <v/>
      </c>
      <c r="H7" t="str">
        <f t="shared" si="1"/>
        <v/>
      </c>
      <c r="I7" t="str">
        <f t="shared" si="2"/>
        <v/>
      </c>
      <c r="J7" t="str">
        <f t="shared" si="3"/>
        <v/>
      </c>
      <c r="K7" t="str">
        <f t="shared" si="4"/>
        <v/>
      </c>
      <c r="M7" s="26"/>
      <c r="N7" t="str">
        <f ca="1">IF(ISNUMBER(MATCH(C7,vj_counter,0))=TRUE,"X","")</f>
        <v/>
      </c>
      <c r="O7" t="str">
        <f ca="1">IF(ISNUMBER(MATCH(C7,ml_counter,0))=TRUE,"X","")</f>
        <v/>
      </c>
      <c r="Q7" s="41" t="s">
        <v>305</v>
      </c>
      <c r="R7" s="41" t="s">
        <v>305</v>
      </c>
      <c r="S7" s="41" t="s">
        <v>305</v>
      </c>
      <c r="T7" s="41" t="s">
        <v>305</v>
      </c>
      <c r="U7" s="94" t="str">
        <f t="shared" si="5"/>
        <v/>
      </c>
      <c r="V7" s="95">
        <v>0.72951388888888902</v>
      </c>
      <c r="Y7" s="19"/>
    </row>
    <row r="8" spans="2:25">
      <c r="B8" s="30" t="s">
        <v>385</v>
      </c>
      <c r="C8" t="s">
        <v>388</v>
      </c>
      <c r="D8" s="19"/>
      <c r="E8" t="str">
        <f t="shared" si="0"/>
        <v/>
      </c>
      <c r="F8" t="str" cm="1">
        <f t="array" aca="1" ref="F8" ca="1">_xlfn.IFS(D8=0,"",ulga=0,"SM",ulga&lt;=D8,"UL",ulga&gt;D8,"SM")</f>
        <v/>
      </c>
      <c r="G8" t="str" cm="1">
        <f t="array" aca="1" ref="G8" ca="1">_xlfn.IFS(F8="SM","",$D8="","",F8="UL",CONCATENATE(K8,"+",(J8-K8*7)))</f>
        <v/>
      </c>
      <c r="H8" t="str">
        <f t="shared" si="1"/>
        <v/>
      </c>
      <c r="I8" t="str">
        <f t="shared" si="2"/>
        <v/>
      </c>
      <c r="J8" t="str">
        <f t="shared" si="3"/>
        <v/>
      </c>
      <c r="K8" t="str">
        <f t="shared" si="4"/>
        <v/>
      </c>
      <c r="M8" s="26"/>
      <c r="N8" t="str">
        <f ca="1">IF(ISNUMBER(MATCH(C8,vj_counter,0))=TRUE,"X","")</f>
        <v/>
      </c>
      <c r="O8" t="str">
        <f ca="1">IF(ISNUMBER(MATCH(C8,ml_counter,0))=TRUE,"X","")</f>
        <v/>
      </c>
      <c r="Q8" s="41" t="s">
        <v>305</v>
      </c>
      <c r="R8" s="41" t="s">
        <v>305</v>
      </c>
      <c r="S8" s="41" t="s">
        <v>305</v>
      </c>
      <c r="T8" s="41" t="s">
        <v>305</v>
      </c>
      <c r="U8" s="94" t="str">
        <f t="shared" si="5"/>
        <v/>
      </c>
      <c r="V8" s="95">
        <v>0.77118055555555598</v>
      </c>
      <c r="Y8" s="19"/>
    </row>
    <row r="9" spans="2:25">
      <c r="B9" s="30" t="s">
        <v>383</v>
      </c>
      <c r="C9" t="s">
        <v>389</v>
      </c>
      <c r="D9" s="19"/>
      <c r="E9" t="str">
        <f t="shared" si="0"/>
        <v/>
      </c>
      <c r="F9" t="str" cm="1">
        <f t="array" aca="1" ref="F9" ca="1">_xlfn.IFS(D9=0,"",ulga=0,"SM",ulga&lt;=D9,"UL",ulga&gt;D9,"SM")</f>
        <v/>
      </c>
      <c r="G9" t="str" cm="1">
        <f t="array" aca="1" ref="G9" ca="1">_xlfn.IFS(F9="SM","",$D9="","",F9="UL",CONCATENATE(K9,"+",(J9-K9*7)))</f>
        <v/>
      </c>
      <c r="H9" t="str">
        <f t="shared" si="1"/>
        <v/>
      </c>
      <c r="I9" t="str">
        <f t="shared" si="2"/>
        <v/>
      </c>
      <c r="J9" t="str">
        <f t="shared" si="3"/>
        <v/>
      </c>
      <c r="K9" t="str">
        <f t="shared" si="4"/>
        <v/>
      </c>
      <c r="M9" s="26"/>
      <c r="N9" t="str">
        <f ca="1">IF(ISNUMBER(MATCH(C9,vj_counter,0))=TRUE,"X","")</f>
        <v/>
      </c>
      <c r="O9" t="str">
        <f ca="1">IF(ISNUMBER(MATCH(C9,ml_counter,0))=TRUE,"X","")</f>
        <v/>
      </c>
      <c r="Q9" s="41" t="s">
        <v>305</v>
      </c>
      <c r="R9" s="41" t="s">
        <v>305</v>
      </c>
      <c r="S9" s="41" t="s">
        <v>305</v>
      </c>
      <c r="T9" s="41" t="s">
        <v>305</v>
      </c>
      <c r="U9" s="94" t="str">
        <f t="shared" si="5"/>
        <v/>
      </c>
      <c r="V9" s="95">
        <v>0.81284722222222205</v>
      </c>
      <c r="Y9" s="19"/>
    </row>
    <row r="10" spans="2:25">
      <c r="B10" s="30" t="s">
        <v>385</v>
      </c>
      <c r="C10" t="s">
        <v>390</v>
      </c>
      <c r="D10" s="19"/>
      <c r="E10" t="str">
        <f t="shared" si="0"/>
        <v/>
      </c>
      <c r="F10" t="str" cm="1">
        <f t="array" aca="1" ref="F10" ca="1">_xlfn.IFS(D10=0,"",ulga=0,"SM",ulga&lt;=D10,"UL",ulga&gt;D10,"SM")</f>
        <v/>
      </c>
      <c r="G10" t="str" cm="1">
        <f t="array" aca="1" ref="G10" ca="1">_xlfn.IFS(F10="SM","",$D10="","",F10="UL",CONCATENATE(K10,"+",(J10-K10*7)))</f>
        <v/>
      </c>
      <c r="H10" t="str">
        <f t="shared" si="1"/>
        <v/>
      </c>
      <c r="I10" t="str">
        <f t="shared" si="2"/>
        <v/>
      </c>
      <c r="J10" t="str">
        <f t="shared" si="3"/>
        <v/>
      </c>
      <c r="K10" t="str">
        <f t="shared" si="4"/>
        <v/>
      </c>
      <c r="M10" s="26"/>
      <c r="N10" t="str">
        <f ca="1">IF(ISNUMBER(MATCH(C10,vj_counter,0))=TRUE,"X","")</f>
        <v/>
      </c>
      <c r="O10" t="str">
        <f ca="1">IF(ISNUMBER(MATCH(C10,ml_counter,0))=TRUE,"X","")</f>
        <v/>
      </c>
      <c r="Q10" s="41" t="s">
        <v>305</v>
      </c>
      <c r="R10" s="41" t="s">
        <v>305</v>
      </c>
      <c r="S10" s="41" t="s">
        <v>305</v>
      </c>
      <c r="T10" s="41" t="s">
        <v>305</v>
      </c>
      <c r="U10" s="94" t="str">
        <f t="shared" si="5"/>
        <v/>
      </c>
      <c r="V10" s="95">
        <v>0.85451388888888902</v>
      </c>
      <c r="Y10" s="19"/>
    </row>
    <row r="11" spans="2:25">
      <c r="B11" s="30" t="s">
        <v>383</v>
      </c>
      <c r="C11" t="s">
        <v>391</v>
      </c>
      <c r="D11" s="19"/>
      <c r="E11" t="str">
        <f t="shared" si="0"/>
        <v/>
      </c>
      <c r="F11" t="str" cm="1">
        <f t="array" aca="1" ref="F11" ca="1">_xlfn.IFS(D11=0,"",ulga=0,"SM",ulga&lt;=D11,"UL",ulga&gt;D11,"SM")</f>
        <v/>
      </c>
      <c r="G11" t="str" cm="1">
        <f t="array" aca="1" ref="G11" ca="1">_xlfn.IFS(F11="SM","",$D11="","",F11="UL",CONCATENATE(K11,"+",(J11-K11*7)))</f>
        <v/>
      </c>
      <c r="H11" t="str">
        <f t="shared" si="1"/>
        <v/>
      </c>
      <c r="I11" t="str">
        <f t="shared" si="2"/>
        <v/>
      </c>
      <c r="J11" t="str">
        <f t="shared" si="3"/>
        <v/>
      </c>
      <c r="K11" t="str">
        <f t="shared" si="4"/>
        <v/>
      </c>
      <c r="M11" s="26"/>
      <c r="N11" t="str">
        <f ca="1">IF(ISNUMBER(MATCH(C11,vj_counter,0))=TRUE,"X","")</f>
        <v/>
      </c>
      <c r="O11" t="str">
        <f ca="1">IF(ISNUMBER(MATCH(C11,ml_counter,0))=TRUE,"X","")</f>
        <v/>
      </c>
      <c r="Q11" s="41" t="s">
        <v>305</v>
      </c>
      <c r="R11" s="41" t="s">
        <v>305</v>
      </c>
      <c r="S11" s="41" t="s">
        <v>305</v>
      </c>
      <c r="T11" s="41" t="s">
        <v>305</v>
      </c>
      <c r="U11" s="94" t="str">
        <f t="shared" si="5"/>
        <v/>
      </c>
      <c r="V11" s="95">
        <v>0.89618055555555598</v>
      </c>
      <c r="Y11" s="19"/>
    </row>
    <row r="12" spans="2:25">
      <c r="B12" s="30" t="s">
        <v>385</v>
      </c>
      <c r="C12" t="s">
        <v>392</v>
      </c>
      <c r="D12" s="19"/>
      <c r="E12" t="str">
        <f t="shared" si="0"/>
        <v/>
      </c>
      <c r="F12" t="str" cm="1">
        <f t="array" aca="1" ref="F12" ca="1">_xlfn.IFS(D12=0,"",ulga=0,"SM",ulga&lt;=D12,"UL",ulga&gt;D12,"SM")</f>
        <v/>
      </c>
      <c r="G12" t="str" cm="1">
        <f t="array" aca="1" ref="G12" ca="1">_xlfn.IFS(F12="SM","",$D12="","",F12="UL",CONCATENATE(K12,"+",(J12-K12*7)))</f>
        <v/>
      </c>
      <c r="H12" t="str">
        <f t="shared" si="1"/>
        <v/>
      </c>
      <c r="I12" t="str">
        <f t="shared" si="2"/>
        <v/>
      </c>
      <c r="J12" t="str">
        <f t="shared" si="3"/>
        <v/>
      </c>
      <c r="K12" t="str">
        <f t="shared" si="4"/>
        <v/>
      </c>
      <c r="M12" s="26"/>
      <c r="N12" t="str">
        <f ca="1">IF(ISNUMBER(MATCH(C12,vj_counter,0))=TRUE,"X","")</f>
        <v/>
      </c>
      <c r="O12" t="str">
        <f ca="1">IF(ISNUMBER(MATCH(C12,ml_counter,0))=TRUE,"X","")</f>
        <v/>
      </c>
      <c r="Q12" s="41" t="s">
        <v>305</v>
      </c>
      <c r="R12" s="41" t="s">
        <v>305</v>
      </c>
      <c r="S12" s="41" t="s">
        <v>305</v>
      </c>
      <c r="T12" s="41" t="s">
        <v>305</v>
      </c>
      <c r="U12" s="94" t="str">
        <f t="shared" si="5"/>
        <v/>
      </c>
      <c r="V12" s="95">
        <v>0.93784722222222205</v>
      </c>
      <c r="Y12" s="19"/>
    </row>
    <row r="13" spans="2:25">
      <c r="B13" t="s">
        <v>383</v>
      </c>
      <c r="C13" t="s">
        <v>393</v>
      </c>
      <c r="D13" s="19"/>
      <c r="E13" t="str">
        <f t="shared" si="0"/>
        <v/>
      </c>
      <c r="F13" t="str" cm="1">
        <f t="array" aca="1" ref="F13" ca="1">_xlfn.IFS(D13=0,"",ulga=0,"SM",ulga&lt;=D13,"UL",ulga&gt;D13,"SM")</f>
        <v/>
      </c>
      <c r="G13" t="str" cm="1">
        <f t="array" aca="1" ref="G13" ca="1">_xlfn.IFS(F13="SM","",$D13="","",F13="UL",CONCATENATE(K13,"+",(J13-K13*7)))</f>
        <v/>
      </c>
      <c r="H13" t="str">
        <f t="shared" si="1"/>
        <v/>
      </c>
      <c r="I13" t="str">
        <f t="shared" si="2"/>
        <v/>
      </c>
      <c r="J13" t="str">
        <f t="shared" si="3"/>
        <v/>
      </c>
      <c r="K13" t="str">
        <f t="shared" si="4"/>
        <v/>
      </c>
      <c r="M13" s="26"/>
      <c r="N13" t="str">
        <f ca="1">IF(ISNUMBER(MATCH(C13,vj_counter,0))=TRUE,"X","")</f>
        <v/>
      </c>
      <c r="O13" t="str">
        <f ca="1">IF(ISNUMBER(MATCH(C13,ml_counter,0))=TRUE,"X","")</f>
        <v/>
      </c>
      <c r="Q13" s="41" t="s">
        <v>305</v>
      </c>
      <c r="R13" s="41" t="s">
        <v>305</v>
      </c>
      <c r="S13" s="41" t="s">
        <v>305</v>
      </c>
      <c r="T13" s="41" t="s">
        <v>305</v>
      </c>
      <c r="U13" s="94" t="str">
        <f t="shared" si="5"/>
        <v/>
      </c>
      <c r="V13" s="95">
        <v>0.97951388888888902</v>
      </c>
      <c r="Y13" s="19"/>
    </row>
    <row r="14" spans="2:25">
      <c r="B14" t="s">
        <v>394</v>
      </c>
      <c r="C14" t="s">
        <v>293</v>
      </c>
      <c r="D14" s="19"/>
      <c r="E14" t="str">
        <f t="shared" si="0"/>
        <v/>
      </c>
      <c r="F14" t="str" cm="1">
        <f t="array" aca="1" ref="F14" ca="1">_xlfn.IFS(D14=0,"",ulga=0,"SM",ulga&lt;=D14,"UL",ulga&gt;D14,"SM")</f>
        <v/>
      </c>
      <c r="G14" t="str" cm="1">
        <f t="array" aca="1" ref="G14" ca="1">_xlfn.IFS(F14="SM","",$D14="","",F14="UL",CONCATENATE(K14,"+",(J14-K14*7)))</f>
        <v/>
      </c>
      <c r="H14" t="str">
        <f t="shared" si="1"/>
        <v/>
      </c>
      <c r="I14" t="str">
        <f t="shared" si="2"/>
        <v/>
      </c>
      <c r="J14" t="str">
        <f t="shared" si="3"/>
        <v/>
      </c>
      <c r="K14" t="str">
        <f t="shared" si="4"/>
        <v/>
      </c>
      <c r="M14" s="26"/>
      <c r="N14" t="str">
        <f ca="1">IF(ISNUMBER(MATCH(C14,vj_counter,0))=TRUE,"X","")</f>
        <v/>
      </c>
      <c r="O14" t="str">
        <f ca="1">IF(ISNUMBER(MATCH(C14,ml_counter,0))=TRUE,"X","")</f>
        <v/>
      </c>
      <c r="Q14" s="41" t="s">
        <v>305</v>
      </c>
      <c r="R14" s="41" t="s">
        <v>305</v>
      </c>
      <c r="S14" s="41" t="s">
        <v>305</v>
      </c>
      <c r="T14" s="41" t="s">
        <v>305</v>
      </c>
      <c r="U14" s="94" t="str">
        <f t="shared" si="5"/>
        <v/>
      </c>
      <c r="V14" s="95">
        <v>1.02118055555556</v>
      </c>
      <c r="Y14" s="19"/>
    </row>
    <row r="15" spans="2:25">
      <c r="B15" t="s">
        <v>395</v>
      </c>
      <c r="C15" t="s">
        <v>395</v>
      </c>
      <c r="D15" s="19"/>
      <c r="E15" t="str">
        <f t="shared" si="0"/>
        <v/>
      </c>
      <c r="F15" t="str" cm="1">
        <f t="array" aca="1" ref="F15" ca="1">_xlfn.IFS(D15=0,"",ulga=0,"SM",ulga&lt;=D15,"UL",ulga&gt;D15,"SM")</f>
        <v/>
      </c>
      <c r="G15" t="str" cm="1">
        <f t="array" aca="1" ref="G15" ca="1">_xlfn.IFS(F15="SM","",$D15="","",F15="UL",CONCATENATE(K15,"+",(J15-K15*7)))</f>
        <v/>
      </c>
      <c r="H15" t="str">
        <f t="shared" si="1"/>
        <v/>
      </c>
      <c r="I15" t="str">
        <f t="shared" si="2"/>
        <v/>
      </c>
      <c r="J15" t="str">
        <f t="shared" si="3"/>
        <v/>
      </c>
      <c r="K15" t="str">
        <f t="shared" si="4"/>
        <v/>
      </c>
      <c r="M15" s="26"/>
      <c r="N15" t="str">
        <f ca="1">IF(ISNUMBER(MATCH(C15,vj_counter,0))=TRUE,"X","")</f>
        <v/>
      </c>
      <c r="O15" t="str">
        <f ca="1">IF(ISNUMBER(MATCH(C15,ml_counter,0))=TRUE,"X","")</f>
        <v/>
      </c>
      <c r="Q15" s="41" t="s">
        <v>305</v>
      </c>
      <c r="R15" s="41" t="s">
        <v>305</v>
      </c>
      <c r="S15" s="41" t="s">
        <v>305</v>
      </c>
      <c r="T15" s="41" t="s">
        <v>305</v>
      </c>
      <c r="U15" s="94" t="str">
        <f t="shared" si="5"/>
        <v/>
      </c>
      <c r="V15" s="95">
        <v>1.0628472222222201</v>
      </c>
      <c r="Y15" s="19"/>
    </row>
    <row r="16" spans="2:25">
      <c r="B16" t="s">
        <v>396</v>
      </c>
      <c r="C16" t="s">
        <v>397</v>
      </c>
      <c r="D16" s="19"/>
      <c r="E16" t="str">
        <f t="shared" si="0"/>
        <v/>
      </c>
      <c r="F16" t="str" cm="1">
        <f t="array" aca="1" ref="F16" ca="1">_xlfn.IFS(D16=0,"",ulga=0,"SM",ulga&lt;=D16,"UL",ulga&gt;D16,"SM")</f>
        <v/>
      </c>
      <c r="G16" t="str" cm="1">
        <f t="array" aca="1" ref="G16" ca="1">_xlfn.IFS(F16="SM","",$D16="","",F16="UL",CONCATENATE(K16,"+",(J16-K16*7)))</f>
        <v/>
      </c>
      <c r="H16" t="str">
        <f t="shared" si="1"/>
        <v/>
      </c>
      <c r="I16" t="str">
        <f t="shared" si="2"/>
        <v/>
      </c>
      <c r="J16" t="str">
        <f t="shared" si="3"/>
        <v/>
      </c>
      <c r="K16" t="str">
        <f t="shared" si="4"/>
        <v/>
      </c>
      <c r="M16" s="26"/>
      <c r="N16" t="str">
        <f ca="1">IF(ISNUMBER(MATCH(C16,vj_counter,0))=TRUE,"X","")</f>
        <v/>
      </c>
      <c r="O16" t="str">
        <f ca="1">IF(ISNUMBER(MATCH(C16,ml_counter,0))=TRUE,"X","")</f>
        <v/>
      </c>
      <c r="Q16" s="41" t="s">
        <v>305</v>
      </c>
      <c r="R16" s="41" t="s">
        <v>305</v>
      </c>
      <c r="S16" s="41" t="s">
        <v>305</v>
      </c>
      <c r="T16" s="41" t="s">
        <v>305</v>
      </c>
      <c r="U16" s="94" t="str">
        <f t="shared" si="5"/>
        <v/>
      </c>
      <c r="V16" s="95">
        <v>1.1045138888888899</v>
      </c>
      <c r="Y16" s="19"/>
    </row>
    <row r="17" spans="2:25">
      <c r="B17" t="s">
        <v>396</v>
      </c>
      <c r="C17" t="s">
        <v>398</v>
      </c>
      <c r="D17" s="19"/>
      <c r="E17" t="str">
        <f t="shared" si="0"/>
        <v/>
      </c>
      <c r="F17" t="str" cm="1">
        <f t="array" aca="1" ref="F17" ca="1">_xlfn.IFS(D17=0,"",ulga=0,"SM",ulga&lt;=D17,"UL",ulga&gt;D17,"SM")</f>
        <v/>
      </c>
      <c r="G17" t="str" cm="1">
        <f t="array" aca="1" ref="G17" ca="1">_xlfn.IFS(F17="SM","",$D17="","",F17="UL",CONCATENATE(K17,"+",(J17-K17*7)))</f>
        <v/>
      </c>
      <c r="H17" t="str">
        <f t="shared" si="1"/>
        <v/>
      </c>
      <c r="I17" t="str">
        <f t="shared" si="2"/>
        <v/>
      </c>
      <c r="J17" t="str">
        <f t="shared" si="3"/>
        <v/>
      </c>
      <c r="K17" t="str">
        <f t="shared" si="4"/>
        <v/>
      </c>
      <c r="M17" s="26"/>
      <c r="N17" t="str">
        <f ca="1">IF(ISNUMBER(MATCH(C17,vj_counter,0))=TRUE,"X","")</f>
        <v/>
      </c>
      <c r="O17" t="str">
        <f ca="1">IF(ISNUMBER(MATCH(C17,ml_counter,0))=TRUE,"X","")</f>
        <v/>
      </c>
      <c r="Q17" s="41" t="s">
        <v>305</v>
      </c>
      <c r="R17" s="41" t="s">
        <v>305</v>
      </c>
      <c r="S17" s="41" t="s">
        <v>305</v>
      </c>
      <c r="T17" s="41" t="s">
        <v>305</v>
      </c>
      <c r="U17" s="94" t="str">
        <f t="shared" si="5"/>
        <v/>
      </c>
      <c r="V17" s="95">
        <v>1.14618055555556</v>
      </c>
      <c r="Y17" s="19"/>
    </row>
    <row r="18" spans="2:25">
      <c r="B18" t="s">
        <v>396</v>
      </c>
      <c r="C18" t="s">
        <v>399</v>
      </c>
      <c r="D18" s="19"/>
      <c r="E18" t="str">
        <f t="shared" si="0"/>
        <v/>
      </c>
      <c r="F18" t="str" cm="1">
        <f t="array" aca="1" ref="F18" ca="1">_xlfn.IFS(D18=0,"",ulga=0,"SM",ulga&lt;=D18,"UL",ulga&gt;D18,"SM")</f>
        <v/>
      </c>
      <c r="G18" t="str" cm="1">
        <f t="array" aca="1" ref="G18" ca="1">_xlfn.IFS(F18="SM","",$D18="","",F18="UL",CONCATENATE(K18,"+",(J18-K18*7)))</f>
        <v/>
      </c>
      <c r="H18" t="str">
        <f t="shared" si="1"/>
        <v/>
      </c>
      <c r="I18" t="str">
        <f t="shared" si="2"/>
        <v/>
      </c>
      <c r="J18" t="str">
        <f t="shared" si="3"/>
        <v/>
      </c>
      <c r="K18" t="str">
        <f t="shared" si="4"/>
        <v/>
      </c>
      <c r="M18" s="26"/>
      <c r="N18" t="str">
        <f ca="1">IF(ISNUMBER(MATCH(C18,vj_counter,0))=TRUE,"X","")</f>
        <v/>
      </c>
      <c r="O18" t="str">
        <f ca="1">IF(ISNUMBER(MATCH(C18,ml_counter,0))=TRUE,"X","")</f>
        <v/>
      </c>
      <c r="Q18" s="41" t="s">
        <v>305</v>
      </c>
      <c r="R18" s="41" t="s">
        <v>305</v>
      </c>
      <c r="S18" s="41" t="s">
        <v>305</v>
      </c>
      <c r="T18" s="41" t="s">
        <v>305</v>
      </c>
      <c r="U18" s="94" t="str">
        <f t="shared" si="5"/>
        <v/>
      </c>
      <c r="V18" s="95">
        <v>1.1878472222222201</v>
      </c>
      <c r="Y18" s="19"/>
    </row>
    <row r="19" spans="2:25">
      <c r="B19" t="s">
        <v>396</v>
      </c>
      <c r="C19" t="s">
        <v>400</v>
      </c>
      <c r="D19" s="19"/>
      <c r="E19" t="str">
        <f t="shared" si="0"/>
        <v/>
      </c>
      <c r="F19" t="str" cm="1">
        <f t="array" aca="1" ref="F19" ca="1">_xlfn.IFS(D19=0,"",ulga=0,"SM",ulga&lt;=D19,"UL",ulga&gt;D19,"SM")</f>
        <v/>
      </c>
      <c r="G19" t="str" cm="1">
        <f t="array" aca="1" ref="G19" ca="1">_xlfn.IFS(F19="SM","",$D19="","",F19="UL",CONCATENATE(K19,"+",(J19-K19*7)))</f>
        <v/>
      </c>
      <c r="H19" t="str">
        <f t="shared" si="1"/>
        <v/>
      </c>
      <c r="I19" t="str">
        <f t="shared" si="2"/>
        <v/>
      </c>
      <c r="J19" t="str">
        <f t="shared" si="3"/>
        <v/>
      </c>
      <c r="K19" t="str">
        <f t="shared" si="4"/>
        <v/>
      </c>
      <c r="M19" s="26"/>
      <c r="N19" t="str">
        <f ca="1">IF(ISNUMBER(MATCH(C19,vj_counter,0))=TRUE,"X","")</f>
        <v/>
      </c>
      <c r="O19" t="str">
        <f ca="1">IF(ISNUMBER(MATCH(C19,ml_counter,0))=TRUE,"X","")</f>
        <v/>
      </c>
      <c r="Q19" s="41" t="s">
        <v>305</v>
      </c>
      <c r="R19" s="41" t="s">
        <v>305</v>
      </c>
      <c r="S19" s="41" t="s">
        <v>305</v>
      </c>
      <c r="T19" s="41" t="s">
        <v>305</v>
      </c>
      <c r="U19" s="94" t="str">
        <f t="shared" si="5"/>
        <v/>
      </c>
      <c r="V19" s="95">
        <v>1.2295138888888899</v>
      </c>
    </row>
    <row r="20" spans="2:25">
      <c r="B20" t="s">
        <v>396</v>
      </c>
      <c r="C20" t="s">
        <v>401</v>
      </c>
      <c r="D20" s="19"/>
      <c r="E20" t="str">
        <f t="shared" si="0"/>
        <v/>
      </c>
      <c r="F20" t="str" cm="1">
        <f t="array" aca="1" ref="F20" ca="1">_xlfn.IFS(D20=0,"",ulga=0,"SM",ulga&lt;=D20,"UL",ulga&gt;D20,"SM")</f>
        <v/>
      </c>
      <c r="G20" t="str" cm="1">
        <f t="array" aca="1" ref="G20" ca="1">_xlfn.IFS(F20="SM","",$D20="","",F20="UL",CONCATENATE(K20,"+",(J20-K20*7)))</f>
        <v/>
      </c>
      <c r="H20" t="str">
        <f t="shared" si="1"/>
        <v/>
      </c>
      <c r="I20" t="str">
        <f t="shared" si="2"/>
        <v/>
      </c>
      <c r="J20" t="str">
        <f t="shared" si="3"/>
        <v/>
      </c>
      <c r="K20" t="str">
        <f t="shared" si="4"/>
        <v/>
      </c>
      <c r="M20" s="26"/>
      <c r="N20" t="str">
        <f ca="1">IF(ISNUMBER(MATCH(C20,vj_counter,0))=TRUE,"X","")</f>
        <v/>
      </c>
      <c r="O20" t="str">
        <f ca="1">IF(ISNUMBER(MATCH(C20,ml_counter,0))=TRUE,"X","")</f>
        <v/>
      </c>
      <c r="Q20" s="41" t="s">
        <v>305</v>
      </c>
      <c r="R20" s="41" t="s">
        <v>305</v>
      </c>
      <c r="S20" s="41" t="s">
        <v>305</v>
      </c>
      <c r="T20" s="41" t="s">
        <v>305</v>
      </c>
      <c r="U20" s="94" t="str">
        <f t="shared" si="5"/>
        <v/>
      </c>
      <c r="V20" s="95">
        <v>1.27118055555556</v>
      </c>
    </row>
    <row r="21" spans="2:25">
      <c r="C21" s="77" t="s">
        <v>402</v>
      </c>
      <c r="D21" s="19"/>
      <c r="E21" t="str">
        <f t="shared" si="0"/>
        <v/>
      </c>
      <c r="F21" t="str" cm="1">
        <f t="array" aca="1" ref="F21" ca="1">_xlfn.IFS(D21=0,"",ulga=0,"SM",ulga&lt;=D21,"UL",ulga&gt;D21,"SM")</f>
        <v/>
      </c>
      <c r="G21" t="str" cm="1">
        <f t="array" aca="1" ref="G21" ca="1">_xlfn.IFS(F21="SM","",$D21="","",F21="UL",CONCATENATE(K21,"+",(J21-K21*7)))</f>
        <v/>
      </c>
      <c r="H21" t="str">
        <f t="shared" si="1"/>
        <v/>
      </c>
      <c r="I21" t="str">
        <f t="shared" si="2"/>
        <v/>
      </c>
      <c r="J21" t="str">
        <f t="shared" si="3"/>
        <v/>
      </c>
      <c r="K21" t="str">
        <f t="shared" si="4"/>
        <v/>
      </c>
      <c r="M21" s="26"/>
      <c r="N21" t="str">
        <f ca="1">IF(ISNUMBER(MATCH(C21,vj_counter,0))=TRUE,"X","")</f>
        <v/>
      </c>
      <c r="O21" t="str">
        <f ca="1">IF(ISNUMBER(MATCH(C21,ml_counter,0))=TRUE,"X","")</f>
        <v/>
      </c>
      <c r="Q21" s="41" t="s">
        <v>305</v>
      </c>
      <c r="R21" s="41" t="s">
        <v>305</v>
      </c>
      <c r="S21" s="41" t="s">
        <v>305</v>
      </c>
      <c r="T21" s="41" t="s">
        <v>305</v>
      </c>
      <c r="U21" s="94" t="str">
        <f t="shared" si="5"/>
        <v/>
      </c>
      <c r="V21" s="95">
        <v>1.3128472222222201</v>
      </c>
    </row>
    <row r="22" spans="2:25">
      <c r="C22" s="77" t="s">
        <v>402</v>
      </c>
      <c r="D22" s="19"/>
      <c r="E22" t="str">
        <f t="shared" si="0"/>
        <v/>
      </c>
      <c r="F22" t="str" cm="1">
        <f t="array" aca="1" ref="F22" ca="1">_xlfn.IFS(D22=0,"",ulga=0,"SM",ulga&lt;=D22,"UL",ulga&gt;D22,"SM")</f>
        <v/>
      </c>
      <c r="G22" t="str" cm="1">
        <f t="array" aca="1" ref="G22" ca="1">_xlfn.IFS(F22="SM","",$D22="","",F22="UL",CONCATENATE(K22,"+",(J22-K22*7)))</f>
        <v/>
      </c>
      <c r="H22" t="str">
        <f t="shared" si="1"/>
        <v/>
      </c>
      <c r="I22" t="str">
        <f t="shared" si="2"/>
        <v/>
      </c>
      <c r="J22" t="str">
        <f t="shared" si="3"/>
        <v/>
      </c>
      <c r="K22" t="str">
        <f t="shared" si="4"/>
        <v/>
      </c>
      <c r="M22" s="26"/>
      <c r="N22" t="str">
        <f ca="1">IF(ISNUMBER(MATCH(C22,vj_counter,0))=TRUE,"X","")</f>
        <v/>
      </c>
      <c r="O22" t="str">
        <f ca="1">IF(ISNUMBER(MATCH(C22,ml_counter,0))=TRUE,"X","")</f>
        <v/>
      </c>
      <c r="Q22" s="41" t="s">
        <v>305</v>
      </c>
      <c r="R22" s="41" t="s">
        <v>305</v>
      </c>
      <c r="S22" s="41" t="s">
        <v>305</v>
      </c>
      <c r="T22" s="41" t="s">
        <v>305</v>
      </c>
      <c r="U22" s="94" t="str">
        <f t="shared" si="5"/>
        <v/>
      </c>
      <c r="V22" s="95">
        <v>1.3545138888888899</v>
      </c>
    </row>
    <row r="23" spans="2:25">
      <c r="C23" s="77" t="s">
        <v>402</v>
      </c>
      <c r="D23" s="19"/>
      <c r="E23" t="str">
        <f t="shared" si="0"/>
        <v/>
      </c>
      <c r="F23" t="str" cm="1">
        <f t="array" aca="1" ref="F23" ca="1">_xlfn.IFS(D23=0,"",ulga=0,"SM",ulga&lt;=D23,"UL",ulga&gt;D23,"SM")</f>
        <v/>
      </c>
      <c r="G23" t="str" cm="1">
        <f t="array" aca="1" ref="G23" ca="1">_xlfn.IFS(F23="SM","",$D23="","",F23="UL",CONCATENATE(K23,"+",(J23-K23*7)))</f>
        <v/>
      </c>
      <c r="H23" t="str">
        <f t="shared" si="1"/>
        <v/>
      </c>
      <c r="I23" t="str">
        <f t="shared" si="2"/>
        <v/>
      </c>
      <c r="J23" t="str">
        <f t="shared" si="3"/>
        <v/>
      </c>
      <c r="K23" t="str">
        <f t="shared" si="4"/>
        <v/>
      </c>
      <c r="M23" s="26"/>
      <c r="N23" t="str">
        <f ca="1">IF(ISNUMBER(MATCH(C23,vj_counter,0))=TRUE,"X","")</f>
        <v/>
      </c>
      <c r="O23" t="str">
        <f ca="1">IF(ISNUMBER(MATCH(C23,ml_counter,0))=TRUE,"X","")</f>
        <v/>
      </c>
      <c r="Q23" s="41" t="s">
        <v>305</v>
      </c>
      <c r="R23" s="41" t="s">
        <v>305</v>
      </c>
      <c r="S23" s="41" t="s">
        <v>305</v>
      </c>
      <c r="T23" s="41" t="s">
        <v>305</v>
      </c>
      <c r="U23" s="94" t="str">
        <f t="shared" si="5"/>
        <v/>
      </c>
      <c r="V23" s="95">
        <v>1.39618055555556</v>
      </c>
    </row>
    <row r="24" spans="2:25">
      <c r="C24" s="77" t="s">
        <v>402</v>
      </c>
      <c r="D24" s="19"/>
      <c r="E24" t="str">
        <f t="shared" si="0"/>
        <v/>
      </c>
      <c r="F24" t="str" cm="1">
        <f t="array" aca="1" ref="F24" ca="1">_xlfn.IFS(D24=0,"",ulga=0,"SM",ulga&lt;=D24,"UL",ulga&gt;D24,"SM")</f>
        <v/>
      </c>
      <c r="G24" t="str" cm="1">
        <f t="array" aca="1" ref="G24" ca="1">_xlfn.IFS(F24="SM","",$D24="","",F24="UL",CONCATENATE(K24,"+",(J24-K24*7)))</f>
        <v/>
      </c>
      <c r="H24" t="str">
        <f t="shared" si="1"/>
        <v/>
      </c>
      <c r="I24" t="str">
        <f t="shared" si="2"/>
        <v/>
      </c>
      <c r="J24" t="str">
        <f t="shared" si="3"/>
        <v/>
      </c>
      <c r="K24" t="str">
        <f t="shared" si="4"/>
        <v/>
      </c>
      <c r="M24" s="26"/>
      <c r="N24" t="str">
        <f ca="1">IF(ISNUMBER(MATCH(C24,vj_counter,0))=TRUE,"X","")</f>
        <v/>
      </c>
      <c r="O24" t="str">
        <f ca="1">IF(ISNUMBER(MATCH(C24,ml_counter,0))=TRUE,"X","")</f>
        <v/>
      </c>
      <c r="Q24" s="41" t="s">
        <v>305</v>
      </c>
      <c r="R24" s="41" t="s">
        <v>305</v>
      </c>
      <c r="S24" s="41" t="s">
        <v>305</v>
      </c>
      <c r="T24" s="41" t="s">
        <v>305</v>
      </c>
      <c r="U24" s="94" t="str">
        <f t="shared" si="5"/>
        <v/>
      </c>
      <c r="V24" s="95">
        <v>1.4378472222222201</v>
      </c>
    </row>
    <row r="25" spans="2:25">
      <c r="C25" s="77" t="s">
        <v>402</v>
      </c>
      <c r="D25" s="19"/>
      <c r="E25" t="str">
        <f t="shared" si="0"/>
        <v/>
      </c>
      <c r="F25" t="str" cm="1">
        <f t="array" aca="1" ref="F25" ca="1">_xlfn.IFS(D25=0,"",ulga&lt;=D25,"UL",ulga&gt;D25,"SM")</f>
        <v/>
      </c>
      <c r="G25" t="str" cm="1">
        <f t="array" aca="1" ref="G25" ca="1">_xlfn.IFS(F25="SM","",$D25="","",F25="UL",CONCATENATE(K25,"+",(J25-K25*7)))</f>
        <v/>
      </c>
      <c r="H25" t="str">
        <f t="shared" si="1"/>
        <v/>
      </c>
      <c r="I25" t="str">
        <f t="shared" si="2"/>
        <v/>
      </c>
      <c r="J25" t="str">
        <f t="shared" si="3"/>
        <v/>
      </c>
      <c r="K25" t="str">
        <f t="shared" si="4"/>
        <v/>
      </c>
      <c r="M25" s="26"/>
      <c r="N25" t="str">
        <f ca="1">IF(ISNUMBER(MATCH(C25,vj_counter,0))=TRUE,"X","")</f>
        <v/>
      </c>
      <c r="O25" t="str">
        <f ca="1">IF(ISNUMBER(MATCH(C25,ml_counter,0))=TRUE,"X","")</f>
        <v/>
      </c>
      <c r="Q25" s="41" t="s">
        <v>305</v>
      </c>
      <c r="R25" s="41" t="s">
        <v>305</v>
      </c>
      <c r="S25" s="41" t="s">
        <v>305</v>
      </c>
      <c r="T25" s="41" t="s">
        <v>305</v>
      </c>
      <c r="U25" s="94" t="str">
        <f t="shared" si="5"/>
        <v/>
      </c>
      <c r="V25" s="95">
        <v>1.4795138888888899</v>
      </c>
    </row>
    <row r="26" spans="2:25">
      <c r="C26" s="77" t="s">
        <v>402</v>
      </c>
      <c r="D26" s="19"/>
      <c r="E26" t="str">
        <f t="shared" si="0"/>
        <v/>
      </c>
      <c r="F26" t="str" cm="1">
        <f t="array" aca="1" ref="F26" ca="1">_xlfn.IFS(D26=0,"",ulga&lt;=D26,"UL",ulga&gt;D26,"SM")</f>
        <v/>
      </c>
      <c r="G26" t="str" cm="1">
        <f t="array" aca="1" ref="G26" ca="1">_xlfn.IFS(F26="SM","",$D26="","",F26="UL",CONCATENATE(K26,"+",(J26-K26*7)))</f>
        <v/>
      </c>
      <c r="H26" t="str">
        <f t="shared" si="1"/>
        <v/>
      </c>
      <c r="I26" t="str">
        <f t="shared" si="2"/>
        <v/>
      </c>
      <c r="J26" t="str">
        <f t="shared" ref="J26" si="6">IF(D26="","",D26-$D$3+$G$3)</f>
        <v/>
      </c>
      <c r="K26" t="str">
        <f t="shared" ref="K26" si="7">IF(D26="","",FLOOR((J26/7),1))</f>
        <v/>
      </c>
      <c r="M26" s="26"/>
      <c r="N26" t="str">
        <f ca="1">IF(ISNUMBER(MATCH(C26,vj_counter,0))=TRUE,"X","")</f>
        <v/>
      </c>
      <c r="O26" t="str">
        <f ca="1">IF(ISNUMBER(MATCH(C26,ml_counter,0))=TRUE,"X","")</f>
        <v/>
      </c>
      <c r="Q26" s="41" t="s">
        <v>305</v>
      </c>
      <c r="R26" s="41" t="s">
        <v>305</v>
      </c>
      <c r="S26" s="41" t="s">
        <v>305</v>
      </c>
      <c r="T26" s="41" t="s">
        <v>305</v>
      </c>
      <c r="U26" s="94" t="str">
        <f t="shared" si="5"/>
        <v/>
      </c>
      <c r="V26" s="95">
        <v>1.52118055555556</v>
      </c>
    </row>
    <row r="27" spans="2:25" ht="15" customHeight="1">
      <c r="B27" s="83"/>
      <c r="C27" s="83"/>
      <c r="D27" s="83"/>
      <c r="E27" s="83"/>
      <c r="F27" s="83"/>
      <c r="G27" s="83"/>
      <c r="H27" s="83"/>
      <c r="I27" s="83"/>
      <c r="J27" s="83"/>
      <c r="K27" s="83"/>
      <c r="L27" s="1" t="s">
        <v>403</v>
      </c>
      <c r="M27">
        <f>IF(M4="","",1)</f>
        <v>1</v>
      </c>
      <c r="N27">
        <f ca="1">COUNTIF(N4:N26,"X")</f>
        <v>1</v>
      </c>
      <c r="O27">
        <f ca="1">COUNTIF(O4:O26,"X")</f>
        <v>1</v>
      </c>
    </row>
    <row r="28" spans="2:25">
      <c r="L28" s="1" t="s">
        <v>404</v>
      </c>
      <c r="M28" s="93">
        <f ca="1">SUM(M27:O27)</f>
        <v>3</v>
      </c>
    </row>
    <row r="30" spans="2:25" ht="15" customHeight="1">
      <c r="M30" s="1" t="s">
        <v>404</v>
      </c>
      <c r="N30">
        <f ca="1">SUM(M27:O27)</f>
        <v>3</v>
      </c>
      <c r="O30" t="s">
        <v>405</v>
      </c>
    </row>
    <row r="31" spans="2:25" ht="15" customHeight="1">
      <c r="M31" s="1" t="s">
        <v>404</v>
      </c>
      <c r="N31">
        <f ca="1">COUNTIF(Vandrejournal!J4:J34,"&gt;&lt;0")+O27+M27</f>
        <v>2</v>
      </c>
      <c r="O31" t="s">
        <v>406</v>
      </c>
    </row>
  </sheetData>
  <mergeCells count="3">
    <mergeCell ref="H1:I1"/>
    <mergeCell ref="J1:K1"/>
    <mergeCell ref="N1:O1"/>
  </mergeCells>
  <conditionalFormatting sqref="D3">
    <cfRule type="expression" dxfId="0" priority="1">
      <formula>D3=""</formula>
    </cfRule>
  </conditionalFormatting>
  <dataValidations count="2">
    <dataValidation type="list" allowBlank="1" showInputMessage="1" showErrorMessage="1" sqref="C4:C14" xr:uid="{82CDA9E6-9511-4BEF-A453-567DC52C420E}">
      <formula1>aftale</formula1>
    </dataValidation>
    <dataValidation type="list" allowBlank="1" showInputMessage="1" showErrorMessage="1" sqref="B3:B26" xr:uid="{EFE88A57-033C-42EF-AF55-635EC5CDD680}">
      <formula1>sor_performer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69AACC-934D-4BC2-8044-9355481DC27F}">
  <sheetPr>
    <tabColor theme="1" tint="4.9989318521683403E-2"/>
  </sheetPr>
  <dimension ref="A1:BU359"/>
  <sheetViews>
    <sheetView zoomScaleNormal="100" workbookViewId="0">
      <selection activeCell="Q3" sqref="Q3:R5"/>
    </sheetView>
  </sheetViews>
  <sheetFormatPr defaultRowHeight="15"/>
  <cols>
    <col min="4" max="4" width="13.42578125" customWidth="1"/>
    <col min="6" max="6" width="19.7109375" customWidth="1"/>
    <col min="7" max="7" width="23.140625" customWidth="1"/>
    <col min="8" max="8" width="18.85546875" customWidth="1"/>
    <col min="9" max="9" width="12" customWidth="1"/>
    <col min="11" max="11" width="31.42578125" customWidth="1"/>
    <col min="12" max="12" width="19.7109375" customWidth="1"/>
    <col min="15" max="15" width="13.7109375" customWidth="1"/>
    <col min="16" max="16" width="32" bestFit="1" customWidth="1"/>
    <col min="17" max="17" width="22.5703125" customWidth="1"/>
    <col min="18" max="18" width="14.7109375" customWidth="1"/>
    <col min="19" max="19" width="23.28515625" customWidth="1"/>
    <col min="20" max="20" width="14.42578125" customWidth="1"/>
    <col min="21" max="21" width="30.85546875" style="2" customWidth="1"/>
    <col min="22" max="22" width="26.140625" style="2" customWidth="1"/>
    <col min="23" max="23" width="18.7109375" customWidth="1"/>
    <col min="24" max="24" width="22.140625" customWidth="1"/>
    <col min="25" max="25" width="35.140625" customWidth="1"/>
    <col min="26" max="26" width="22" customWidth="1"/>
    <col min="27" max="27" width="18.5703125" customWidth="1"/>
    <col min="28" max="28" width="15.7109375" customWidth="1"/>
    <col min="29" max="29" width="23.42578125" customWidth="1"/>
    <col min="30" max="30" width="39" customWidth="1"/>
    <col min="31" max="31" width="25.140625" customWidth="1"/>
    <col min="46" max="46" width="33.140625" customWidth="1"/>
    <col min="47" max="47" width="42.42578125" customWidth="1"/>
    <col min="48" max="48" width="34.7109375" customWidth="1"/>
    <col min="49" max="49" width="47.28515625" customWidth="1"/>
    <col min="50" max="50" width="32.5703125" customWidth="1"/>
    <col min="51" max="51" width="26.7109375" customWidth="1"/>
    <col min="52" max="52" width="27.7109375" customWidth="1"/>
    <col min="53" max="53" width="34.5703125" customWidth="1"/>
    <col min="54" max="54" width="38.42578125" customWidth="1"/>
    <col min="55" max="55" width="22.5703125" customWidth="1"/>
    <col min="56" max="56" width="27.42578125" customWidth="1"/>
    <col min="57" max="57" width="76.42578125" customWidth="1"/>
    <col min="58" max="58" width="31.7109375" customWidth="1"/>
    <col min="60" max="60" width="22.28515625" customWidth="1"/>
    <col min="61" max="61" width="58" customWidth="1"/>
    <col min="63" max="63" width="18" customWidth="1"/>
    <col min="64" max="64" width="18.5703125" customWidth="1"/>
    <col min="65" max="65" width="18.42578125" customWidth="1"/>
    <col min="66" max="66" width="18.5703125" customWidth="1"/>
    <col min="67" max="68" width="12.42578125" customWidth="1"/>
    <col min="69" max="69" width="18.28515625" customWidth="1"/>
    <col min="70" max="70" width="13.42578125" customWidth="1"/>
    <col min="72" max="72" width="10.85546875" customWidth="1"/>
  </cols>
  <sheetData>
    <row r="1" spans="2:73">
      <c r="BT1" s="1"/>
    </row>
    <row r="2" spans="2:73" s="1" customFormat="1">
      <c r="B2" s="1" t="s">
        <v>142</v>
      </c>
      <c r="D2" s="1" t="s">
        <v>48</v>
      </c>
      <c r="F2" s="1" t="s">
        <v>52</v>
      </c>
      <c r="H2" s="3" t="s">
        <v>73</v>
      </c>
      <c r="J2" s="1" t="s">
        <v>77</v>
      </c>
      <c r="M2" s="1" t="s">
        <v>79</v>
      </c>
      <c r="O2" s="1" t="s">
        <v>407</v>
      </c>
      <c r="Q2" s="1" t="s">
        <v>91</v>
      </c>
      <c r="R2"/>
      <c r="S2" s="1" t="s">
        <v>110</v>
      </c>
      <c r="U2" s="101" t="s">
        <v>114</v>
      </c>
      <c r="V2" s="101"/>
      <c r="X2" s="1" t="s">
        <v>118</v>
      </c>
      <c r="AA2" s="1" t="s">
        <v>408</v>
      </c>
      <c r="AD2" s="1" t="s">
        <v>122</v>
      </c>
      <c r="AF2" s="1" t="s">
        <v>123</v>
      </c>
      <c r="AH2" s="1" t="s">
        <v>124</v>
      </c>
      <c r="AJ2" s="1" t="s">
        <v>135</v>
      </c>
      <c r="AL2" s="1" t="s">
        <v>137</v>
      </c>
      <c r="AN2" s="1" t="s">
        <v>144</v>
      </c>
      <c r="AP2" s="1" t="s">
        <v>148</v>
      </c>
      <c r="AR2" s="1" t="s">
        <v>152</v>
      </c>
      <c r="AT2" s="1" t="s">
        <v>409</v>
      </c>
      <c r="AU2" s="1" t="s">
        <v>410</v>
      </c>
      <c r="AV2" s="1" t="s">
        <v>166</v>
      </c>
      <c r="AW2" s="1" t="s">
        <v>265</v>
      </c>
      <c r="AX2" s="1" t="s">
        <v>196</v>
      </c>
      <c r="AY2" s="1" t="s">
        <v>411</v>
      </c>
      <c r="AZ2" s="1" t="s">
        <v>412</v>
      </c>
      <c r="BA2" s="1" t="s">
        <v>206</v>
      </c>
      <c r="BB2" s="1" t="s">
        <v>413</v>
      </c>
      <c r="BC2" s="1" t="s">
        <v>251</v>
      </c>
      <c r="BD2" s="1" t="s">
        <v>264</v>
      </c>
      <c r="BE2" s="1" t="s">
        <v>414</v>
      </c>
      <c r="BF2" s="1" t="s">
        <v>271</v>
      </c>
      <c r="BG2" s="1" t="s">
        <v>415</v>
      </c>
      <c r="BH2" s="1" t="s">
        <v>416</v>
      </c>
      <c r="BI2" s="1" t="s">
        <v>295</v>
      </c>
      <c r="BJ2" s="1" t="s">
        <v>417</v>
      </c>
      <c r="BK2" s="1" t="s">
        <v>345</v>
      </c>
      <c r="BL2" s="1" t="s">
        <v>344</v>
      </c>
      <c r="BM2" s="1" t="s">
        <v>343</v>
      </c>
      <c r="BN2" s="1" t="s">
        <v>347</v>
      </c>
      <c r="BO2" s="1" t="s">
        <v>350</v>
      </c>
      <c r="BQ2" s="1" t="s">
        <v>418</v>
      </c>
      <c r="BR2" s="1" t="s">
        <v>419</v>
      </c>
      <c r="BS2" s="1" t="s">
        <v>420</v>
      </c>
      <c r="BT2" s="1" t="s">
        <v>421</v>
      </c>
      <c r="BU2" s="1" t="s">
        <v>422</v>
      </c>
    </row>
    <row r="3" spans="2:73">
      <c r="B3" t="s">
        <v>167</v>
      </c>
      <c r="D3" t="s">
        <v>423</v>
      </c>
      <c r="F3" t="s">
        <v>424</v>
      </c>
      <c r="H3" t="s">
        <v>425</v>
      </c>
      <c r="J3" t="s">
        <v>426</v>
      </c>
      <c r="M3" t="s">
        <v>427</v>
      </c>
      <c r="O3" t="s">
        <v>428</v>
      </c>
      <c r="Q3" t="s">
        <v>429</v>
      </c>
      <c r="R3">
        <v>169838000</v>
      </c>
      <c r="S3" t="s">
        <v>430</v>
      </c>
      <c r="U3" s="2" t="s">
        <v>431</v>
      </c>
      <c r="X3" t="s">
        <v>432</v>
      </c>
      <c r="AA3" t="s">
        <v>383</v>
      </c>
      <c r="AD3" t="s">
        <v>433</v>
      </c>
      <c r="AF3" t="s">
        <v>434</v>
      </c>
      <c r="AH3" t="s">
        <v>435</v>
      </c>
      <c r="AJ3" t="s">
        <v>436</v>
      </c>
      <c r="AL3" t="s">
        <v>437</v>
      </c>
      <c r="AN3" t="s">
        <v>432</v>
      </c>
      <c r="AP3" t="s">
        <v>438</v>
      </c>
      <c r="AR3" t="s">
        <v>439</v>
      </c>
      <c r="AT3" t="s">
        <v>440</v>
      </c>
      <c r="AU3" t="s">
        <v>441</v>
      </c>
      <c r="AV3" t="s">
        <v>442</v>
      </c>
      <c r="AW3" t="s">
        <v>443</v>
      </c>
      <c r="AX3" t="s">
        <v>444</v>
      </c>
      <c r="AY3" t="s">
        <v>445</v>
      </c>
      <c r="AZ3" t="s">
        <v>446</v>
      </c>
      <c r="BA3" t="s">
        <v>447</v>
      </c>
      <c r="BB3" t="s">
        <v>432</v>
      </c>
      <c r="BC3" t="s">
        <v>448</v>
      </c>
      <c r="BD3" t="s">
        <v>449</v>
      </c>
      <c r="BE3" t="s">
        <v>450</v>
      </c>
      <c r="BF3" t="s">
        <v>451</v>
      </c>
      <c r="BG3" t="s">
        <v>452</v>
      </c>
      <c r="BH3" t="s">
        <v>453</v>
      </c>
      <c r="BI3" t="s">
        <v>454</v>
      </c>
      <c r="BJ3" t="s">
        <v>455</v>
      </c>
      <c r="BK3" t="s">
        <v>456</v>
      </c>
      <c r="BL3" t="s">
        <v>457</v>
      </c>
      <c r="BM3" t="s">
        <v>458</v>
      </c>
      <c r="BN3" t="s">
        <v>459</v>
      </c>
      <c r="BO3" t="s">
        <v>351</v>
      </c>
      <c r="BP3">
        <v>278092006</v>
      </c>
      <c r="BQ3" t="s">
        <v>460</v>
      </c>
      <c r="BR3" t="s">
        <v>461</v>
      </c>
      <c r="BS3" t="s">
        <v>462</v>
      </c>
      <c r="BT3" t="s">
        <v>463</v>
      </c>
      <c r="BU3" t="s">
        <v>464</v>
      </c>
    </row>
    <row r="4" spans="2:73">
      <c r="B4" t="s">
        <v>432</v>
      </c>
      <c r="D4" t="s">
        <v>465</v>
      </c>
      <c r="F4" t="s">
        <v>466</v>
      </c>
      <c r="H4" t="s">
        <v>467</v>
      </c>
      <c r="J4" t="s">
        <v>468</v>
      </c>
      <c r="M4" t="s">
        <v>469</v>
      </c>
      <c r="O4" t="s">
        <v>470</v>
      </c>
      <c r="Q4" t="s">
        <v>471</v>
      </c>
      <c r="R4">
        <v>169839008</v>
      </c>
      <c r="S4" t="s">
        <v>472</v>
      </c>
      <c r="U4" s="2" t="s">
        <v>473</v>
      </c>
      <c r="X4" t="s">
        <v>474</v>
      </c>
      <c r="AA4" t="s">
        <v>385</v>
      </c>
      <c r="AD4" t="s">
        <v>475</v>
      </c>
      <c r="AF4" t="s">
        <v>476</v>
      </c>
      <c r="AH4" t="s">
        <v>477</v>
      </c>
      <c r="AJ4" t="s">
        <v>478</v>
      </c>
      <c r="AL4" t="s">
        <v>479</v>
      </c>
      <c r="AN4" t="s">
        <v>480</v>
      </c>
      <c r="AP4" t="s">
        <v>481</v>
      </c>
      <c r="AR4" t="s">
        <v>482</v>
      </c>
      <c r="AT4" t="s">
        <v>483</v>
      </c>
      <c r="AU4" t="s">
        <v>441</v>
      </c>
      <c r="AV4" t="s">
        <v>484</v>
      </c>
      <c r="AW4" t="s">
        <v>443</v>
      </c>
      <c r="AX4" t="s">
        <v>485</v>
      </c>
      <c r="AY4" t="s">
        <v>486</v>
      </c>
      <c r="AZ4" s="115" t="s">
        <v>487</v>
      </c>
      <c r="BA4" t="s">
        <v>488</v>
      </c>
      <c r="BB4" t="s">
        <v>489</v>
      </c>
      <c r="BC4" t="s">
        <v>490</v>
      </c>
      <c r="BD4" t="s">
        <v>491</v>
      </c>
      <c r="BE4" t="s">
        <v>492</v>
      </c>
      <c r="BF4" t="s">
        <v>493</v>
      </c>
      <c r="BG4" t="s">
        <v>494</v>
      </c>
      <c r="BH4" t="s">
        <v>495</v>
      </c>
      <c r="BI4" t="s">
        <v>496</v>
      </c>
      <c r="BJ4" t="s">
        <v>497</v>
      </c>
      <c r="BK4" t="s">
        <v>498</v>
      </c>
      <c r="BL4" t="s">
        <v>499</v>
      </c>
      <c r="BM4" t="s">
        <v>500</v>
      </c>
      <c r="BN4" t="s">
        <v>501</v>
      </c>
      <c r="BO4" t="s">
        <v>502</v>
      </c>
      <c r="BP4">
        <v>1228877003</v>
      </c>
      <c r="BQ4" s="80" t="s">
        <v>503</v>
      </c>
      <c r="BR4" s="80" t="s">
        <v>504</v>
      </c>
      <c r="BS4" t="s">
        <v>505</v>
      </c>
      <c r="BT4" t="s">
        <v>506</v>
      </c>
      <c r="BU4" t="s">
        <v>507</v>
      </c>
    </row>
    <row r="5" spans="2:73" ht="15.75" customHeight="1">
      <c r="B5" s="2" t="s">
        <v>508</v>
      </c>
      <c r="F5" t="s">
        <v>509</v>
      </c>
      <c r="H5" t="s">
        <v>510</v>
      </c>
      <c r="J5" t="s">
        <v>511</v>
      </c>
      <c r="M5" t="s">
        <v>512</v>
      </c>
      <c r="Q5" t="s">
        <v>513</v>
      </c>
      <c r="R5">
        <v>394743007</v>
      </c>
      <c r="S5" t="s">
        <v>514</v>
      </c>
      <c r="U5" s="2" t="s">
        <v>515</v>
      </c>
      <c r="X5" t="s">
        <v>516</v>
      </c>
      <c r="AA5" t="s">
        <v>394</v>
      </c>
      <c r="AF5" t="s">
        <v>517</v>
      </c>
      <c r="AJ5" t="s">
        <v>518</v>
      </c>
      <c r="AL5" t="s">
        <v>519</v>
      </c>
      <c r="AN5" t="s">
        <v>144</v>
      </c>
      <c r="AT5" t="s">
        <v>520</v>
      </c>
      <c r="AU5" t="s">
        <v>441</v>
      </c>
      <c r="AV5" t="s">
        <v>521</v>
      </c>
      <c r="AW5" t="s">
        <v>443</v>
      </c>
      <c r="AX5" t="s">
        <v>522</v>
      </c>
      <c r="AY5" t="s">
        <v>523</v>
      </c>
      <c r="BA5" t="s">
        <v>524</v>
      </c>
      <c r="BB5" t="s">
        <v>525</v>
      </c>
      <c r="BD5" s="2" t="s">
        <v>526</v>
      </c>
      <c r="BE5" t="s">
        <v>527</v>
      </c>
      <c r="BG5" t="s">
        <v>528</v>
      </c>
      <c r="BI5" t="s">
        <v>529</v>
      </c>
      <c r="BK5" t="s">
        <v>530</v>
      </c>
      <c r="BL5" t="s">
        <v>351</v>
      </c>
      <c r="BO5" t="s">
        <v>531</v>
      </c>
      <c r="BP5">
        <v>289293006</v>
      </c>
      <c r="BQ5" t="s">
        <v>532</v>
      </c>
      <c r="BR5" t="s">
        <v>533</v>
      </c>
      <c r="BS5" t="s">
        <v>534</v>
      </c>
      <c r="BT5" t="s">
        <v>535</v>
      </c>
      <c r="BU5" t="s">
        <v>536</v>
      </c>
    </row>
    <row r="6" spans="2:73">
      <c r="H6" t="s">
        <v>537</v>
      </c>
      <c r="J6" t="s">
        <v>538</v>
      </c>
      <c r="M6" t="s">
        <v>539</v>
      </c>
      <c r="U6" s="2" t="s">
        <v>540</v>
      </c>
      <c r="X6" t="s">
        <v>541</v>
      </c>
      <c r="AA6" t="s">
        <v>395</v>
      </c>
      <c r="AJ6" t="s">
        <v>542</v>
      </c>
      <c r="AL6" t="s">
        <v>253</v>
      </c>
      <c r="AT6" t="s">
        <v>543</v>
      </c>
      <c r="AU6" t="s">
        <v>543</v>
      </c>
      <c r="AV6" t="s">
        <v>544</v>
      </c>
      <c r="AW6" t="s">
        <v>443</v>
      </c>
      <c r="AX6" t="s">
        <v>545</v>
      </c>
      <c r="AY6" t="s">
        <v>546</v>
      </c>
      <c r="BA6" t="s">
        <v>547</v>
      </c>
      <c r="BB6" t="s">
        <v>548</v>
      </c>
      <c r="BD6" t="s">
        <v>549</v>
      </c>
      <c r="BE6" t="s">
        <v>550</v>
      </c>
      <c r="BG6" t="s">
        <v>551</v>
      </c>
      <c r="BI6" t="s">
        <v>552</v>
      </c>
      <c r="BK6" t="s">
        <v>553</v>
      </c>
      <c r="BQ6" t="s">
        <v>554</v>
      </c>
      <c r="BR6" t="s">
        <v>555</v>
      </c>
      <c r="BS6" t="s">
        <v>556</v>
      </c>
      <c r="BT6" t="s">
        <v>557</v>
      </c>
      <c r="BU6" t="s">
        <v>558</v>
      </c>
    </row>
    <row r="7" spans="2:73" ht="22.5" customHeight="1">
      <c r="H7" t="s">
        <v>559</v>
      </c>
      <c r="J7" t="s">
        <v>560</v>
      </c>
      <c r="M7" s="2" t="s">
        <v>561</v>
      </c>
      <c r="AA7" t="s">
        <v>396</v>
      </c>
      <c r="AT7" t="s">
        <v>562</v>
      </c>
      <c r="AU7" t="s">
        <v>562</v>
      </c>
      <c r="AV7" t="s">
        <v>563</v>
      </c>
      <c r="AW7" t="s">
        <v>564</v>
      </c>
      <c r="AX7" t="s">
        <v>565</v>
      </c>
      <c r="AY7" t="s">
        <v>566</v>
      </c>
      <c r="BA7" t="s">
        <v>567</v>
      </c>
      <c r="BD7" t="s">
        <v>568</v>
      </c>
      <c r="BE7" t="s">
        <v>569</v>
      </c>
      <c r="BG7" t="s">
        <v>570</v>
      </c>
      <c r="BQ7" t="s">
        <v>571</v>
      </c>
      <c r="BR7" t="s">
        <v>572</v>
      </c>
      <c r="BS7" t="s">
        <v>573</v>
      </c>
      <c r="BT7" t="s">
        <v>574</v>
      </c>
      <c r="BU7" t="s">
        <v>575</v>
      </c>
    </row>
    <row r="8" spans="2:73">
      <c r="H8" t="s">
        <v>576</v>
      </c>
      <c r="J8" t="s">
        <v>577</v>
      </c>
      <c r="AT8" t="s">
        <v>578</v>
      </c>
      <c r="AU8" t="s">
        <v>579</v>
      </c>
      <c r="AV8" t="s">
        <v>580</v>
      </c>
      <c r="AW8" t="s">
        <v>564</v>
      </c>
      <c r="AX8" t="s">
        <v>581</v>
      </c>
      <c r="AY8" t="s">
        <v>582</v>
      </c>
      <c r="BA8" t="s">
        <v>583</v>
      </c>
      <c r="BG8" t="s">
        <v>584</v>
      </c>
      <c r="BU8" t="s">
        <v>585</v>
      </c>
    </row>
    <row r="9" spans="2:73">
      <c r="H9" t="s">
        <v>586</v>
      </c>
      <c r="AT9" t="s">
        <v>587</v>
      </c>
      <c r="AU9" t="s">
        <v>579</v>
      </c>
      <c r="AV9" t="s">
        <v>588</v>
      </c>
      <c r="AW9" t="s">
        <v>589</v>
      </c>
      <c r="BA9" t="s">
        <v>590</v>
      </c>
      <c r="BG9" t="s">
        <v>591</v>
      </c>
    </row>
    <row r="10" spans="2:73">
      <c r="H10" t="s">
        <v>592</v>
      </c>
      <c r="AT10" t="s">
        <v>593</v>
      </c>
      <c r="AU10" t="s">
        <v>594</v>
      </c>
      <c r="AV10" t="s">
        <v>595</v>
      </c>
      <c r="AW10" t="s">
        <v>589</v>
      </c>
      <c r="BA10" t="s">
        <v>596</v>
      </c>
    </row>
    <row r="11" spans="2:73">
      <c r="AT11" t="s">
        <v>597</v>
      </c>
      <c r="AU11" t="s">
        <v>594</v>
      </c>
      <c r="AV11" t="s">
        <v>598</v>
      </c>
      <c r="AW11" t="s">
        <v>589</v>
      </c>
      <c r="BA11" t="s">
        <v>599</v>
      </c>
    </row>
    <row r="12" spans="2:73">
      <c r="AT12" t="s">
        <v>600</v>
      </c>
      <c r="AU12" t="s">
        <v>594</v>
      </c>
      <c r="AV12" t="s">
        <v>601</v>
      </c>
      <c r="AW12" t="s">
        <v>602</v>
      </c>
    </row>
    <row r="13" spans="2:73">
      <c r="AT13" t="s">
        <v>603</v>
      </c>
      <c r="AU13" t="s">
        <v>603</v>
      </c>
      <c r="AV13" t="s">
        <v>604</v>
      </c>
      <c r="AW13" t="s">
        <v>602</v>
      </c>
    </row>
    <row r="14" spans="2:73">
      <c r="AT14" t="s">
        <v>605</v>
      </c>
      <c r="AU14" t="s">
        <v>606</v>
      </c>
      <c r="AV14" t="s">
        <v>607</v>
      </c>
      <c r="AW14" t="s">
        <v>602</v>
      </c>
    </row>
    <row r="15" spans="2:73">
      <c r="AT15" t="s">
        <v>608</v>
      </c>
      <c r="AU15" t="s">
        <v>606</v>
      </c>
      <c r="AV15" t="s">
        <v>609</v>
      </c>
      <c r="AW15" t="s">
        <v>602</v>
      </c>
    </row>
    <row r="16" spans="2:73">
      <c r="AT16" t="s">
        <v>610</v>
      </c>
      <c r="AU16" t="s">
        <v>606</v>
      </c>
      <c r="AV16" t="s">
        <v>611</v>
      </c>
      <c r="AW16" t="s">
        <v>602</v>
      </c>
    </row>
    <row r="17" spans="2:63">
      <c r="AV17" t="s">
        <v>612</v>
      </c>
      <c r="AW17" t="s">
        <v>613</v>
      </c>
    </row>
    <row r="18" spans="2:63">
      <c r="AV18" t="s">
        <v>614</v>
      </c>
      <c r="AW18" t="s">
        <v>613</v>
      </c>
    </row>
    <row r="19" spans="2:63">
      <c r="AV19" t="s">
        <v>615</v>
      </c>
      <c r="AW19" t="s">
        <v>613</v>
      </c>
    </row>
    <row r="20" spans="2:63">
      <c r="AV20" t="s">
        <v>616</v>
      </c>
      <c r="AW20" t="s">
        <v>613</v>
      </c>
    </row>
    <row r="21" spans="2:63">
      <c r="L21" t="s">
        <v>617</v>
      </c>
      <c r="S21" t="s">
        <v>618</v>
      </c>
      <c r="AC21" t="s">
        <v>619</v>
      </c>
      <c r="AV21" t="s">
        <v>620</v>
      </c>
      <c r="AW21" t="s">
        <v>621</v>
      </c>
      <c r="BJ21" s="2"/>
      <c r="BK21" s="2"/>
    </row>
    <row r="22" spans="2:63">
      <c r="F22" t="s">
        <v>622</v>
      </c>
      <c r="H22" t="s">
        <v>623</v>
      </c>
      <c r="Q22" t="s">
        <v>624</v>
      </c>
      <c r="R22" t="s">
        <v>625</v>
      </c>
      <c r="S22" t="s">
        <v>27</v>
      </c>
      <c r="T22" t="s">
        <v>626</v>
      </c>
      <c r="V22" s="2" t="s">
        <v>627</v>
      </c>
      <c r="W22" t="s">
        <v>628</v>
      </c>
      <c r="X22" t="s">
        <v>629</v>
      </c>
      <c r="AB22" s="78" t="s">
        <v>205</v>
      </c>
      <c r="AC22" t="str" cm="1">
        <f t="array" aca="1" ref="AC22" ca="1">INDIRECT(AB22,TRUE)</f>
        <v>Første besøg hos egen læge</v>
      </c>
      <c r="AD22" s="78" t="s">
        <v>630</v>
      </c>
      <c r="AE22" t="str" cm="1">
        <f t="array" aca="1" ref="AE22" ca="1">INDIRECT(AD22,TRUE)</f>
        <v>Første besøg hos egen læge</v>
      </c>
      <c r="AV22" t="s">
        <v>631</v>
      </c>
      <c r="AW22" t="s">
        <v>621</v>
      </c>
      <c r="BJ22" s="2"/>
      <c r="BK22" s="2"/>
    </row>
    <row r="23" spans="2:63">
      <c r="E23" s="48"/>
      <c r="F23" s="62"/>
      <c r="G23" s="54"/>
      <c r="H23" t="s">
        <v>632</v>
      </c>
      <c r="K23" s="78" t="str" cm="1">
        <f t="array" aca="1" ref="K23" ca="1">IF(INDIRECT(M23,TRUE)="",0,INDIRECT(M23,TRUE))</f>
        <v>Første besøg hos egen læge</v>
      </c>
      <c r="L23" s="78">
        <v>5</v>
      </c>
      <c r="M23" s="78" t="str">
        <f>CONCATENATE("Vandrejournal!C",L23)</f>
        <v>Vandrejournal!C5</v>
      </c>
      <c r="N23" s="78"/>
      <c r="Q23" s="78">
        <v>1</v>
      </c>
      <c r="R23" s="78" cm="1">
        <f t="array" aca="1" ref="R23" ca="1">IF(INDIRECT(V23,TRUE)=0,0,INDIRECT(V23,TRUE))</f>
        <v>45952</v>
      </c>
      <c r="S23" s="78" t="str" cm="1">
        <f t="array" aca="1" ref="S23" ca="1">IF(R23&gt;0,INDIRECT(W23,TRUE),"")</f>
        <v>Første besøg hos egen læge</v>
      </c>
      <c r="T23" s="78" cm="1">
        <f t="array" aca="1" ref="T23" ca="1">IF(R23&gt;0,INDIRECT(X23,TRUE),"")</f>
        <v>45729</v>
      </c>
      <c r="V23" s="112" t="s">
        <v>633</v>
      </c>
      <c r="W23" s="78" t="s">
        <v>205</v>
      </c>
      <c r="X23" s="78" t="s">
        <v>634</v>
      </c>
      <c r="AB23" s="78" t="s">
        <v>208</v>
      </c>
      <c r="AC23" cm="1">
        <f t="array" aca="1" ref="AC23" ca="1">INDIRECT(AB23,TRUE)</f>
        <v>0</v>
      </c>
      <c r="AD23" s="78" t="s">
        <v>635</v>
      </c>
      <c r="AE23" cm="1">
        <f t="array" aca="1" ref="AE23" ca="1">INDIRECT(AD23,TRUE)</f>
        <v>0</v>
      </c>
      <c r="AV23" t="s">
        <v>636</v>
      </c>
      <c r="AW23" t="s">
        <v>621</v>
      </c>
      <c r="BJ23" s="2"/>
      <c r="BK23" s="2"/>
    </row>
    <row r="24" spans="2:63">
      <c r="B24" t="s">
        <v>43</v>
      </c>
      <c r="E24" s="57"/>
      <c r="F24" s="51"/>
      <c r="G24" s="46"/>
      <c r="K24" s="78" cm="1">
        <f t="array" aca="1" ref="K24" ca="1">IF(INDIRECT(M24,TRUE)="",0,INDIRECT(M24,TRUE))</f>
        <v>0</v>
      </c>
      <c r="L24" s="78">
        <f>L23+100</f>
        <v>105</v>
      </c>
      <c r="M24" s="78" t="str">
        <f t="shared" ref="M24:M38" si="0">CONCATENATE("Vandrejournal!C",L24)</f>
        <v>Vandrejournal!C105</v>
      </c>
      <c r="N24" s="78"/>
      <c r="Q24" s="78">
        <v>2</v>
      </c>
      <c r="R24" s="78" cm="1">
        <f t="array" aca="1" ref="R24" ca="1">IF(INDIRECT(V24,TRUE)=0,0,INDIRECT(V24,TRUE))</f>
        <v>0</v>
      </c>
      <c r="S24" s="78" t="str" cm="1">
        <f t="array" aca="1" ref="S24" ca="1">IF(R24&gt;0,INDIRECT(W24,TRUE),"")</f>
        <v/>
      </c>
      <c r="T24" s="78" t="str" cm="1">
        <f t="array" aca="1" ref="T24" ca="1">IF(R24&gt;0,INDIRECT(X24,TRUE),"")</f>
        <v/>
      </c>
      <c r="V24" s="112" t="s">
        <v>637</v>
      </c>
      <c r="W24" s="78" t="s">
        <v>208</v>
      </c>
      <c r="X24" s="78" t="s">
        <v>638</v>
      </c>
      <c r="AB24" s="78" t="s">
        <v>211</v>
      </c>
      <c r="AC24" cm="1">
        <f t="array" aca="1" ref="AC24" ca="1">INDIRECT(AB24,TRUE)</f>
        <v>0</v>
      </c>
      <c r="AD24" s="78" t="s">
        <v>639</v>
      </c>
      <c r="AE24" cm="1">
        <f t="array" aca="1" ref="AE24" ca="1">INDIRECT(AD24,TRUE)</f>
        <v>0</v>
      </c>
      <c r="AV24" t="s">
        <v>640</v>
      </c>
      <c r="AW24" t="s">
        <v>641</v>
      </c>
      <c r="BJ24" s="2"/>
      <c r="BK24" s="2"/>
    </row>
    <row r="25" spans="2:63">
      <c r="B25">
        <v>0</v>
      </c>
      <c r="E25" s="58"/>
      <c r="F25" s="65"/>
      <c r="G25" s="66"/>
      <c r="H25" s="13" t="s">
        <v>642</v>
      </c>
      <c r="I25" s="13"/>
      <c r="K25" s="78" cm="1">
        <f t="array" aca="1" ref="K25" ca="1">IF(INDIRECT(M25,TRUE)="",0,INDIRECT(M25,TRUE))</f>
        <v>0</v>
      </c>
      <c r="L25" s="78">
        <f t="shared" ref="L25:L28" si="1">L24+100</f>
        <v>205</v>
      </c>
      <c r="M25" s="78" t="str">
        <f t="shared" si="0"/>
        <v>Vandrejournal!C205</v>
      </c>
      <c r="N25" s="78"/>
      <c r="Q25" s="78">
        <v>3</v>
      </c>
      <c r="R25" s="78" cm="1">
        <f t="array" aca="1" ref="R25" ca="1">IF(INDIRECT(V25,TRUE)=0,0,INDIRECT(V25,TRUE))</f>
        <v>0</v>
      </c>
      <c r="S25" s="78" t="str" cm="1">
        <f t="array" aca="1" ref="S25" ca="1">IF(R25&gt;0,INDIRECT(W25,TRUE),"")</f>
        <v/>
      </c>
      <c r="T25" s="78" t="str" cm="1">
        <f t="array" aca="1" ref="T25" ca="1">IF(R25&gt;0,INDIRECT(X25,TRUE),"")</f>
        <v/>
      </c>
      <c r="V25" s="112" t="s">
        <v>643</v>
      </c>
      <c r="W25" s="78" t="s">
        <v>211</v>
      </c>
      <c r="X25" s="78" t="s">
        <v>644</v>
      </c>
      <c r="AB25" s="78" t="s">
        <v>214</v>
      </c>
      <c r="AC25" cm="1">
        <f t="array" aca="1" ref="AC25" ca="1">INDIRECT(AB25,TRUE)</f>
        <v>0</v>
      </c>
      <c r="AD25" s="78" t="s">
        <v>645</v>
      </c>
      <c r="AE25" cm="1">
        <f t="array" aca="1" ref="AE25" ca="1">INDIRECT(AD25,TRUE)</f>
        <v>0</v>
      </c>
      <c r="AV25" t="s">
        <v>646</v>
      </c>
      <c r="AW25" t="s">
        <v>641</v>
      </c>
    </row>
    <row r="26" spans="2:63">
      <c r="B26">
        <v>1</v>
      </c>
      <c r="E26" s="45"/>
      <c r="F26" s="50"/>
      <c r="G26" s="44"/>
      <c r="H26" s="13" t="s">
        <v>647</v>
      </c>
      <c r="I26" s="13"/>
      <c r="K26" s="78" cm="1">
        <f t="array" aca="1" ref="K26" ca="1">IF(INDIRECT(M26,TRUE)="",0,INDIRECT(M26,TRUE))</f>
        <v>0</v>
      </c>
      <c r="L26" s="78">
        <f t="shared" si="1"/>
        <v>305</v>
      </c>
      <c r="M26" s="78" t="str">
        <f t="shared" si="0"/>
        <v>Vandrejournal!C305</v>
      </c>
      <c r="N26" s="78"/>
      <c r="Q26" s="78">
        <v>4</v>
      </c>
      <c r="R26" s="78" cm="1">
        <f t="array" aca="1" ref="R26" ca="1">IF(INDIRECT(V26,TRUE)=0,0,INDIRECT(V26,TRUE))</f>
        <v>0</v>
      </c>
      <c r="S26" s="78" t="str" cm="1">
        <f t="array" aca="1" ref="S26" ca="1">IF(R26&gt;0,INDIRECT(W26,TRUE),"")</f>
        <v/>
      </c>
      <c r="T26" s="78" t="str" cm="1">
        <f t="array" aca="1" ref="T26" ca="1">IF(R26&gt;0,INDIRECT(X26,TRUE),"")</f>
        <v/>
      </c>
      <c r="V26" s="112" t="s">
        <v>648</v>
      </c>
      <c r="W26" s="78" t="s">
        <v>214</v>
      </c>
      <c r="X26" s="78" t="s">
        <v>649</v>
      </c>
      <c r="AB26" s="78" t="s">
        <v>217</v>
      </c>
      <c r="AC26" cm="1">
        <f t="array" aca="1" ref="AC26" ca="1">INDIRECT(AB26,TRUE)</f>
        <v>0</v>
      </c>
      <c r="AD26" s="78" t="s">
        <v>650</v>
      </c>
      <c r="AE26" cm="1">
        <f t="array" aca="1" ref="AE26" ca="1">INDIRECT(AD26,TRUE)</f>
        <v>0</v>
      </c>
      <c r="AV26" t="s">
        <v>651</v>
      </c>
      <c r="AW26" t="s">
        <v>641</v>
      </c>
    </row>
    <row r="27" spans="2:63">
      <c r="B27">
        <v>2</v>
      </c>
      <c r="E27" s="59"/>
      <c r="F27" s="71"/>
      <c r="G27" s="55"/>
      <c r="H27" s="13" t="s">
        <v>652</v>
      </c>
      <c r="I27" s="13"/>
      <c r="K27" s="78" cm="1">
        <f t="array" aca="1" ref="K27" ca="1">IF(INDIRECT(M27,TRUE)="",0,INDIRECT(M27,TRUE))</f>
        <v>0</v>
      </c>
      <c r="L27" s="78">
        <f t="shared" si="1"/>
        <v>405</v>
      </c>
      <c r="M27" s="78" t="str">
        <f t="shared" si="0"/>
        <v>Vandrejournal!C405</v>
      </c>
      <c r="N27" s="78"/>
      <c r="Q27" s="78">
        <v>5</v>
      </c>
      <c r="R27" s="78" cm="1">
        <f t="array" aca="1" ref="R27" ca="1">IF(INDIRECT(V27,TRUE)=0,0,INDIRECT(V27,TRUE))</f>
        <v>0</v>
      </c>
      <c r="S27" s="78" t="str" cm="1">
        <f t="array" aca="1" ref="S27" ca="1">IF(R27&gt;0,INDIRECT(W27,TRUE),"")</f>
        <v/>
      </c>
      <c r="T27" s="78" t="str" cm="1">
        <f t="array" aca="1" ref="T27" ca="1">IF(R27&gt;0,INDIRECT(X27,TRUE),"")</f>
        <v/>
      </c>
      <c r="V27" s="112" t="s">
        <v>653</v>
      </c>
      <c r="W27" s="78" t="s">
        <v>217</v>
      </c>
      <c r="X27" s="78" t="s">
        <v>654</v>
      </c>
      <c r="AB27" s="78" t="s">
        <v>220</v>
      </c>
      <c r="AC27" cm="1">
        <f t="array" aca="1" ref="AC27" ca="1">INDIRECT(AB27,TRUE)</f>
        <v>0</v>
      </c>
      <c r="AD27" s="78" t="s">
        <v>655</v>
      </c>
      <c r="AE27" cm="1">
        <f t="array" aca="1" ref="AE27" ca="1">INDIRECT(AD27,TRUE)</f>
        <v>0</v>
      </c>
      <c r="AV27" t="s">
        <v>656</v>
      </c>
      <c r="AW27" t="s">
        <v>641</v>
      </c>
    </row>
    <row r="28" spans="2:63">
      <c r="B28">
        <v>3</v>
      </c>
      <c r="E28" s="60"/>
      <c r="F28" s="49"/>
      <c r="G28" s="43"/>
      <c r="H28" s="13"/>
      <c r="I28" s="13"/>
      <c r="K28" s="78" cm="1">
        <f t="array" aca="1" ref="K28" ca="1">IF(INDIRECT(M28,TRUE)="",0,INDIRECT(M28,TRUE))</f>
        <v>0</v>
      </c>
      <c r="L28" s="78">
        <f t="shared" si="1"/>
        <v>505</v>
      </c>
      <c r="M28" s="78" t="str">
        <f t="shared" si="0"/>
        <v>Vandrejournal!C505</v>
      </c>
      <c r="N28" s="78"/>
      <c r="Q28" s="78">
        <v>6</v>
      </c>
      <c r="R28" s="78" cm="1">
        <f t="array" aca="1" ref="R28" ca="1">IF(INDIRECT(V28,TRUE)=0,0,INDIRECT(V28,TRUE))</f>
        <v>0</v>
      </c>
      <c r="S28" s="78" t="str" cm="1">
        <f t="array" aca="1" ref="S28" ca="1">IF(R28&gt;0,INDIRECT(W28,TRUE),"")</f>
        <v/>
      </c>
      <c r="T28" s="78" t="str" cm="1">
        <f t="array" aca="1" ref="T28" ca="1">IF(R28&gt;0,INDIRECT(X28,TRUE),"")</f>
        <v/>
      </c>
      <c r="V28" s="112" t="s">
        <v>657</v>
      </c>
      <c r="W28" s="78" t="s">
        <v>220</v>
      </c>
      <c r="X28" s="78" t="s">
        <v>658</v>
      </c>
      <c r="AB28" s="78" t="s">
        <v>223</v>
      </c>
      <c r="AC28" cm="1">
        <f t="array" aca="1" ref="AC28" ca="1">INDIRECT(AB28,TRUE)</f>
        <v>0</v>
      </c>
      <c r="AV28" t="s">
        <v>659</v>
      </c>
      <c r="AW28" t="s">
        <v>660</v>
      </c>
    </row>
    <row r="29" spans="2:63">
      <c r="B29">
        <v>4</v>
      </c>
      <c r="E29" s="47"/>
      <c r="F29" s="52"/>
      <c r="G29" s="42"/>
      <c r="H29" s="13" t="s">
        <v>661</v>
      </c>
      <c r="I29" s="13"/>
      <c r="K29" s="78"/>
      <c r="L29" s="79"/>
      <c r="M29" s="78"/>
      <c r="N29" s="78"/>
      <c r="Q29" s="78">
        <v>7</v>
      </c>
      <c r="R29" s="78" cm="1">
        <f t="array" aca="1" ref="R29" ca="1">IF(INDIRECT(V29,TRUE)=0,0,INDIRECT(V29,TRUE))</f>
        <v>0</v>
      </c>
      <c r="S29" s="78" t="str" cm="1">
        <f t="array" aca="1" ref="S29" ca="1">IF(R29&gt;0,INDIRECT(W29,TRUE),"")</f>
        <v/>
      </c>
      <c r="T29" s="78" t="str" cm="1">
        <f t="array" aca="1" ref="T29" ca="1">IF(R29&gt;0,INDIRECT(X29,TRUE),"")</f>
        <v/>
      </c>
      <c r="V29" s="112" t="s">
        <v>662</v>
      </c>
      <c r="W29" s="78" t="s">
        <v>223</v>
      </c>
      <c r="X29" s="78" t="s">
        <v>663</v>
      </c>
      <c r="AB29" s="78" t="s">
        <v>226</v>
      </c>
      <c r="AC29" cm="1">
        <f t="array" aca="1" ref="AC29" ca="1">INDIRECT(AB29,TRUE)</f>
        <v>0</v>
      </c>
      <c r="AV29" t="s">
        <v>664</v>
      </c>
      <c r="AW29" t="s">
        <v>660</v>
      </c>
    </row>
    <row r="30" spans="2:63">
      <c r="B30">
        <v>5</v>
      </c>
      <c r="E30" s="61"/>
      <c r="F30" s="53"/>
      <c r="G30" s="56"/>
      <c r="H30" t="s">
        <v>665</v>
      </c>
      <c r="K30" s="78"/>
      <c r="L30" s="79"/>
      <c r="M30" s="78"/>
      <c r="N30" s="78"/>
      <c r="Q30" s="78">
        <v>8</v>
      </c>
      <c r="R30" s="78" cm="1">
        <f t="array" aca="1" ref="R30" ca="1">IF(INDIRECT(V30,TRUE)=0,0,INDIRECT(V30,TRUE))</f>
        <v>0</v>
      </c>
      <c r="S30" s="78" t="str" cm="1">
        <f t="array" aca="1" ref="S30" ca="1">IF(R30&gt;0,INDIRECT(W30,TRUE),"")</f>
        <v/>
      </c>
      <c r="T30" s="78" t="str" cm="1">
        <f t="array" aca="1" ref="T30" ca="1">IF(R30&gt;0,INDIRECT(X30,TRUE),"")</f>
        <v/>
      </c>
      <c r="V30" s="112" t="s">
        <v>666</v>
      </c>
      <c r="W30" s="78" t="s">
        <v>226</v>
      </c>
      <c r="X30" s="78" t="s">
        <v>667</v>
      </c>
      <c r="AB30" s="78" t="s">
        <v>229</v>
      </c>
      <c r="AC30" cm="1">
        <f t="array" aca="1" ref="AC30" ca="1">INDIRECT(AB30,TRUE)</f>
        <v>0</v>
      </c>
      <c r="AV30" t="s">
        <v>668</v>
      </c>
      <c r="AW30" t="s">
        <v>660</v>
      </c>
    </row>
    <row r="31" spans="2:63">
      <c r="B31">
        <v>6</v>
      </c>
      <c r="K31" s="78"/>
      <c r="L31" s="79"/>
      <c r="M31" s="78"/>
      <c r="N31" s="78"/>
      <c r="Q31" s="78">
        <v>9</v>
      </c>
      <c r="R31" s="78" cm="1">
        <f t="array" aca="1" ref="R31" ca="1">IF(INDIRECT(V31,TRUE)=0,0,INDIRECT(V31,TRUE))</f>
        <v>0</v>
      </c>
      <c r="S31" s="78" t="str" cm="1">
        <f t="array" aca="1" ref="S31" ca="1">IF(R31&gt;0,INDIRECT(W31,TRUE),"")</f>
        <v/>
      </c>
      <c r="T31" s="78" t="str" cm="1">
        <f t="array" aca="1" ref="T31" ca="1">IF(R31&gt;0,INDIRECT(X31,TRUE),"")</f>
        <v/>
      </c>
      <c r="V31" s="112" t="s">
        <v>669</v>
      </c>
      <c r="W31" s="78" t="s">
        <v>229</v>
      </c>
      <c r="X31" s="78" t="s">
        <v>670</v>
      </c>
      <c r="AB31" s="78" t="s">
        <v>232</v>
      </c>
      <c r="AC31" cm="1">
        <f t="array" aca="1" ref="AC31" ca="1">INDIRECT(AB31,TRUE)</f>
        <v>0</v>
      </c>
      <c r="AV31" t="s">
        <v>153</v>
      </c>
      <c r="AW31" t="s">
        <v>660</v>
      </c>
    </row>
    <row r="32" spans="2:63">
      <c r="B32">
        <v>7</v>
      </c>
      <c r="K32" s="78"/>
      <c r="L32" s="79"/>
      <c r="M32" s="78"/>
      <c r="N32" s="78"/>
      <c r="Q32" s="78">
        <v>10</v>
      </c>
      <c r="R32" s="78" cm="1">
        <f t="array" aca="1" ref="R32" ca="1">IF(INDIRECT(V32,TRUE)=0,0,INDIRECT(V32,TRUE))</f>
        <v>0</v>
      </c>
      <c r="S32" s="78" t="str" cm="1">
        <f t="array" aca="1" ref="S32" ca="1">IF(R32&gt;0,INDIRECT(W32,TRUE),"")</f>
        <v/>
      </c>
      <c r="T32" s="78" t="str" cm="1">
        <f t="array" aca="1" ref="T32" ca="1">IF(R32&gt;0,INDIRECT(X32,TRUE),"")</f>
        <v/>
      </c>
      <c r="V32" s="112" t="s">
        <v>671</v>
      </c>
      <c r="W32" s="78" t="s">
        <v>232</v>
      </c>
      <c r="X32" s="78" t="s">
        <v>672</v>
      </c>
      <c r="AB32" s="78" t="s">
        <v>235</v>
      </c>
      <c r="AC32" cm="1">
        <f t="array" aca="1" ref="AC32" ca="1">INDIRECT(AB32,TRUE)</f>
        <v>0</v>
      </c>
      <c r="AV32" t="s">
        <v>673</v>
      </c>
      <c r="AW32" t="s">
        <v>660</v>
      </c>
    </row>
    <row r="33" spans="1:49">
      <c r="B33">
        <v>8</v>
      </c>
      <c r="K33" s="78"/>
      <c r="L33" s="79"/>
      <c r="M33" s="78"/>
      <c r="N33" s="78"/>
      <c r="Q33" s="78">
        <v>11</v>
      </c>
      <c r="R33" s="78" cm="1">
        <f t="array" aca="1" ref="R33" ca="1">IF(INDIRECT(V33,TRUE)=0,0,INDIRECT(V33,TRUE))</f>
        <v>0</v>
      </c>
      <c r="S33" s="78" t="str" cm="1">
        <f t="array" aca="1" ref="S33" ca="1">IF(R33&gt;0,INDIRECT(W33,TRUE),"")</f>
        <v/>
      </c>
      <c r="T33" s="78" t="str" cm="1">
        <f t="array" aca="1" ref="T33" ca="1">IF(R33&gt;0,INDIRECT(X33,TRUE),"")</f>
        <v/>
      </c>
      <c r="V33" s="112" t="s">
        <v>674</v>
      </c>
      <c r="W33" s="78" t="s">
        <v>235</v>
      </c>
      <c r="X33" s="78" t="s">
        <v>675</v>
      </c>
      <c r="AB33" s="78" t="s">
        <v>238</v>
      </c>
      <c r="AC33" cm="1">
        <f t="array" aca="1" ref="AC33" ca="1">INDIRECT(AB33,TRUE)</f>
        <v>0</v>
      </c>
      <c r="AV33" t="s">
        <v>676</v>
      </c>
      <c r="AW33" t="s">
        <v>677</v>
      </c>
    </row>
    <row r="34" spans="1:49">
      <c r="B34">
        <v>9</v>
      </c>
      <c r="G34" s="78" t="str" cm="1">
        <f t="array" aca="1" ref="G34" ca="1">INDIRECT(M34,TRUE)</f>
        <v>Første besøg hos egen læge</v>
      </c>
      <c r="H34" s="78" t="str" cm="1">
        <f t="array" aca="1" ref="H34" ca="1">_xlfn.IFS(G34=0,"0",OR(G34=$K$23,G34=$K$24,G34=$K$25,G34=$K$26,G34=$K$27,G34=$K$28),"VJ",OR(G34&lt;&gt;K23,G34&lt;&gt;$K$24,G34&lt;&gt;$K$25,G34&lt;&gt;$K$26,G34&lt;&gt;$K$27,G34&lt;&gt;$K$28),"M")</f>
        <v>VJ</v>
      </c>
      <c r="I34" s="78"/>
      <c r="J34" s="78"/>
      <c r="K34" s="78" t="str" cm="1">
        <f t="array" aca="1" ref="K34" ca="1">IF(INDIRECT(M34,TRUE)="",0,INDIRECT(M34,TRUE))</f>
        <v>Første besøg hos egen læge</v>
      </c>
      <c r="L34" s="79" t="s">
        <v>678</v>
      </c>
      <c r="M34" s="78" t="str">
        <f>CONCATENATE("Målinger!C",L34)</f>
        <v>Målinger!C5</v>
      </c>
      <c r="N34" s="78"/>
      <c r="Q34" s="78">
        <v>12</v>
      </c>
      <c r="R34" s="78" cm="1">
        <f t="array" aca="1" ref="R34" ca="1">IF(INDIRECT(V34,TRUE)=0,0,INDIRECT(V34,TRUE))</f>
        <v>0</v>
      </c>
      <c r="S34" s="78" t="str" cm="1">
        <f t="array" aca="1" ref="S34" ca="1">IF(R34&gt;0,INDIRECT(W34,TRUE),"")</f>
        <v/>
      </c>
      <c r="T34" s="78" t="str" cm="1">
        <f t="array" aca="1" ref="T34" ca="1">IF(R34&gt;0,INDIRECT(X34,TRUE),"")</f>
        <v/>
      </c>
      <c r="V34" s="112" t="s">
        <v>679</v>
      </c>
      <c r="W34" s="112" t="s">
        <v>238</v>
      </c>
      <c r="X34" s="112" t="s">
        <v>680</v>
      </c>
      <c r="AB34" s="78" t="s">
        <v>241</v>
      </c>
      <c r="AC34" cm="1">
        <f t="array" aca="1" ref="AC34" ca="1">INDIRECT(AB34,TRUE)</f>
        <v>0</v>
      </c>
      <c r="AV34" t="s">
        <v>681</v>
      </c>
      <c r="AW34" t="s">
        <v>677</v>
      </c>
    </row>
    <row r="35" spans="1:49">
      <c r="G35" s="78" cm="1">
        <f t="array" aca="1" ref="G35" ca="1">INDIRECT(M35,TRUE)</f>
        <v>0</v>
      </c>
      <c r="H35" s="78" t="str" cm="1">
        <f t="array" aca="1" ref="H35" ca="1">_xlfn.IFS(G35=0,"0",OR(G35=$K$23,G35=$K$24,G35=$K$25,G35=$K$26,G35=$K$27,G35=$K$28),"VJ",OR(G35&lt;&gt;K24,G35&lt;&gt;$K$24,G35&lt;&gt;$K$25,G35&lt;&gt;$K$26,G35&lt;&gt;$K$27,G35&lt;&gt;$K$28),"M")</f>
        <v>0</v>
      </c>
      <c r="I35" s="78"/>
      <c r="J35" s="78"/>
      <c r="K35" s="78" cm="1">
        <f t="array" aca="1" ref="K35" ca="1">IF(INDIRECT(M35,TRUE)="",0,INDIRECT(M35,TRUE))</f>
        <v>0</v>
      </c>
      <c r="L35" s="79">
        <f>L34+35</f>
        <v>40</v>
      </c>
      <c r="M35" s="78" t="str">
        <f t="shared" ref="M35:M47" si="2">CONCATENATE("Målinger!C",L35)</f>
        <v>Målinger!C40</v>
      </c>
      <c r="N35" s="78"/>
      <c r="Q35" s="78">
        <v>13</v>
      </c>
      <c r="R35" s="78" cm="1">
        <f t="array" aca="1" ref="R35" ca="1">IF(INDIRECT(V35,TRUE)=0,0,INDIRECT(V35,TRUE))</f>
        <v>0</v>
      </c>
      <c r="S35" s="78" t="str" cm="1">
        <f t="array" aca="1" ref="S35" ca="1">IF(R35&gt;0,INDIRECT(W35,TRUE),"")</f>
        <v/>
      </c>
      <c r="T35" s="78" t="str" cm="1">
        <f t="array" aca="1" ref="T35" ca="1">IF(R35&gt;0,INDIRECT(X35,TRUE),"")</f>
        <v/>
      </c>
      <c r="V35" s="112" t="s">
        <v>682</v>
      </c>
      <c r="W35" s="112" t="s">
        <v>241</v>
      </c>
      <c r="X35" s="112" t="s">
        <v>683</v>
      </c>
      <c r="AB35" s="78" t="s">
        <v>244</v>
      </c>
      <c r="AC35" cm="1">
        <f t="array" aca="1" ref="AC35" ca="1">INDIRECT(AB35,TRUE)</f>
        <v>0</v>
      </c>
      <c r="AV35" t="s">
        <v>684</v>
      </c>
      <c r="AW35" t="s">
        <v>677</v>
      </c>
    </row>
    <row r="36" spans="1:49">
      <c r="G36" s="78" cm="1">
        <f t="array" aca="1" ref="G36" ca="1">INDIRECT(M36,TRUE)</f>
        <v>0</v>
      </c>
      <c r="H36" s="78" t="str" cm="1">
        <f t="array" aca="1" ref="H36" ca="1">_xlfn.IFS(G36=0,"0",OR(G36=$K$23,G36=$K$24,G36=$K$25,G36=$K$26,G36=$K$27,G36=$K$28),"VJ",OR(G36&lt;&gt;K25,G36&lt;&gt;$K$24,G36&lt;&gt;$K$25,G36&lt;&gt;$K$26,G36&lt;&gt;$K$27,G36&lt;&gt;$K$28),"M")</f>
        <v>0</v>
      </c>
      <c r="I36" s="78"/>
      <c r="J36" s="78"/>
      <c r="K36" s="78" cm="1">
        <f t="array" aca="1" ref="K36" ca="1">IF(INDIRECT(M36,TRUE)="",0,INDIRECT(M36,TRUE))</f>
        <v>0</v>
      </c>
      <c r="L36" s="79">
        <f t="shared" ref="L36:L38" si="3">L35+35</f>
        <v>75</v>
      </c>
      <c r="M36" s="78" t="str">
        <f t="shared" si="2"/>
        <v>Målinger!C75</v>
      </c>
      <c r="N36" s="78"/>
      <c r="Q36" s="78">
        <v>14</v>
      </c>
      <c r="R36" s="78" cm="1">
        <f t="array" aca="1" ref="R36" ca="1">IF(INDIRECT(V36,TRUE)=0,0,INDIRECT(V36,TRUE))</f>
        <v>0</v>
      </c>
      <c r="S36" s="78" t="str" cm="1">
        <f t="array" aca="1" ref="S36" ca="1">IF(R36&gt;0,INDIRECT(W36,TRUE),"")</f>
        <v/>
      </c>
      <c r="T36" s="78" t="str" cm="1">
        <f t="array" aca="1" ref="T36" ca="1">IF(R36&gt;0,INDIRECT(X36,TRUE),"")</f>
        <v/>
      </c>
      <c r="V36" s="112" t="s">
        <v>685</v>
      </c>
      <c r="W36" s="112" t="s">
        <v>244</v>
      </c>
      <c r="X36" s="112" t="s">
        <v>686</v>
      </c>
      <c r="AB36" s="78" t="s">
        <v>247</v>
      </c>
      <c r="AC36" cm="1">
        <f t="array" aca="1" ref="AC36" ca="1">INDIRECT(AB36,TRUE)</f>
        <v>0</v>
      </c>
      <c r="AV36" t="s">
        <v>687</v>
      </c>
      <c r="AW36" t="s">
        <v>688</v>
      </c>
    </row>
    <row r="37" spans="1:49">
      <c r="G37" s="78" cm="1">
        <f t="array" aca="1" ref="G37" ca="1">INDIRECT(M37,TRUE)</f>
        <v>0</v>
      </c>
      <c r="H37" s="78" t="str" cm="1">
        <f t="array" aca="1" ref="H37" ca="1">_xlfn.IFS(G37=0,"0",OR(G37=$K$23,G37=$K$24,G37=$K$25,G37=$K$26,G37=$K$27,G37=$K$28),"VJ",OR(G37&lt;&gt;K26,G37&lt;&gt;$K$24,G37&lt;&gt;$K$25,G37&lt;&gt;$K$26,G37&lt;&gt;$K$27,G37&lt;&gt;$K$28),"M")</f>
        <v>0</v>
      </c>
      <c r="I37" s="78"/>
      <c r="J37" s="78"/>
      <c r="K37" s="78" cm="1">
        <f t="array" aca="1" ref="K37" ca="1">IF(INDIRECT(M37,TRUE)="",0,INDIRECT(M37,TRUE))</f>
        <v>0</v>
      </c>
      <c r="L37" s="79">
        <f t="shared" si="3"/>
        <v>110</v>
      </c>
      <c r="M37" s="78" t="str">
        <f t="shared" si="2"/>
        <v>Målinger!C110</v>
      </c>
      <c r="N37" s="78"/>
      <c r="Q37" s="78">
        <v>15</v>
      </c>
      <c r="R37" s="78" cm="1">
        <f t="array" aca="1" ref="R37" ca="1">IF(INDIRECT(V37,TRUE)=0,0,INDIRECT(V37,TRUE))</f>
        <v>0</v>
      </c>
      <c r="S37" s="78" t="str" cm="1">
        <f t="array" aca="1" ref="S37" ca="1">IF(R37&gt;0,INDIRECT(W37,TRUE),"")</f>
        <v/>
      </c>
      <c r="T37" s="78" t="str" cm="1">
        <f t="array" aca="1" ref="T37" ca="1">IF(R37&gt;0,INDIRECT(X37,TRUE),"")</f>
        <v/>
      </c>
      <c r="V37" s="112" t="s">
        <v>689</v>
      </c>
      <c r="W37" s="112" t="s">
        <v>247</v>
      </c>
      <c r="X37" s="112" t="s">
        <v>690</v>
      </c>
      <c r="AB37" s="78" t="s">
        <v>691</v>
      </c>
      <c r="AC37" cm="1">
        <f t="array" aca="1" ref="AC37" ca="1">INDIRECT(AB37,TRUE)</f>
        <v>0</v>
      </c>
    </row>
    <row r="38" spans="1:49">
      <c r="B38" s="1" t="s">
        <v>692</v>
      </c>
      <c r="G38" s="78" cm="1">
        <f t="array" aca="1" ref="G38" ca="1">INDIRECT(M38,TRUE)</f>
        <v>0</v>
      </c>
      <c r="H38" s="78" t="str" cm="1">
        <f t="array" aca="1" ref="H38" ca="1">_xlfn.IFS(G38=0,"0",OR(G38=$K$23,G38=$K$24,G38=$K$25,G38=$K$26,G38=$K$27,G38=$K$28),"VJ",OR(G38&lt;&gt;K27,G38&lt;&gt;$K$24,G38&lt;&gt;$K$25,G38&lt;&gt;$K$26,G38&lt;&gt;$K$27,G38&lt;&gt;$K$28),"M")</f>
        <v>0</v>
      </c>
      <c r="I38" s="78"/>
      <c r="J38" s="78"/>
      <c r="K38" s="78" cm="1">
        <f t="array" aca="1" ref="K38" ca="1">IF(INDIRECT(M38,TRUE)="",0,INDIRECT(M38,TRUE))</f>
        <v>0</v>
      </c>
      <c r="L38" s="79">
        <f t="shared" si="3"/>
        <v>145</v>
      </c>
      <c r="M38" s="78" t="str">
        <f t="shared" si="2"/>
        <v>Målinger!C145</v>
      </c>
      <c r="N38" s="78"/>
      <c r="Q38" s="78">
        <v>16</v>
      </c>
      <c r="R38" s="78" cm="1">
        <f t="array" aca="1" ref="R38" ca="1">IF(INDIRECT(V38,TRUE)=0,0,INDIRECT(V38,TRUE))</f>
        <v>0</v>
      </c>
      <c r="S38" s="78" t="str" cm="1">
        <f t="array" aca="1" ref="S38" ca="1">IF(R38&gt;0,INDIRECT(W38,TRUE),"")</f>
        <v/>
      </c>
      <c r="T38" s="78" t="str" cm="1">
        <f t="array" aca="1" ref="T38" ca="1">IF(R38&gt;0,INDIRECT(X38,TRUE),"")</f>
        <v/>
      </c>
      <c r="V38" s="112" t="s">
        <v>693</v>
      </c>
      <c r="W38" s="112" t="s">
        <v>691</v>
      </c>
      <c r="X38" s="112" t="s">
        <v>694</v>
      </c>
      <c r="AB38" s="78" t="s">
        <v>695</v>
      </c>
      <c r="AC38" cm="1">
        <f t="array" aca="1" ref="AC38" ca="1">INDIRECT(AB38,TRUE)</f>
        <v>0</v>
      </c>
    </row>
    <row r="39" spans="1:49">
      <c r="G39" s="78" cm="1">
        <f t="array" aca="1" ref="G39" ca="1">INDIRECT(M39,TRUE)</f>
        <v>0</v>
      </c>
      <c r="H39" s="78" t="str" cm="1">
        <f t="array" aca="1" ref="H39" ca="1">_xlfn.IFS(G39=0,"0",OR(G39=$K$23,G39=$K$24,G39=$K$25,G39=$K$26,G39=$K$27,G39=$K$28),"VJ",OR(G39&lt;&gt;K28,G39&lt;&gt;$K$24,G39&lt;&gt;$K$25,G39&lt;&gt;$K$26,G39&lt;&gt;$K$27,G39&lt;&gt;$K$28),"M")</f>
        <v>0</v>
      </c>
      <c r="I39" s="78"/>
      <c r="J39" s="78"/>
      <c r="K39" s="78" cm="1">
        <f t="array" aca="1" ref="K39" ca="1">IF(INDIRECT(M39,TRUE)="",0,INDIRECT(M39,TRUE))</f>
        <v>0</v>
      </c>
      <c r="L39" s="79">
        <f t="shared" ref="L39:L44" si="4">L38+35</f>
        <v>180</v>
      </c>
      <c r="M39" s="78" t="str">
        <f t="shared" si="2"/>
        <v>Målinger!C180</v>
      </c>
      <c r="N39" s="78"/>
      <c r="Q39" t="s">
        <v>696</v>
      </c>
      <c r="R39" s="81">
        <f ca="1">SUM(R23:R33)</f>
        <v>45952</v>
      </c>
    </row>
    <row r="40" spans="1:49">
      <c r="A40" t="s">
        <v>373</v>
      </c>
      <c r="G40" s="78" cm="1">
        <f t="array" aca="1" ref="G40" ca="1">INDIRECT(M40,TRUE)</f>
        <v>0</v>
      </c>
      <c r="H40" s="78" t="str" cm="1">
        <f t="array" aca="1" ref="H40" ca="1">_xlfn.IFS(G40=0,"0",OR(G40=$K$23,G40=$K$24,G40=$K$25,G40=$K$26,G40=$K$27,G40=$K$28),"VJ",OR(G40&lt;&gt;K29,G40&lt;&gt;$K$24,G40&lt;&gt;$K$25,G40&lt;&gt;$K$26,G40&lt;&gt;$K$27,G40&lt;&gt;$K$28),"M")</f>
        <v>0</v>
      </c>
      <c r="I40" s="78"/>
      <c r="J40" s="78"/>
      <c r="K40" s="78" cm="1">
        <f t="array" aca="1" ref="K40" ca="1">IF(INDIRECT(M40,TRUE)="",0,INDIRECT(M40,TRUE))</f>
        <v>0</v>
      </c>
      <c r="L40" s="79">
        <f t="shared" si="4"/>
        <v>215</v>
      </c>
      <c r="M40" s="78" t="str">
        <f t="shared" si="2"/>
        <v>Målinger!C215</v>
      </c>
      <c r="N40" s="78"/>
      <c r="Q40" t="s">
        <v>697</v>
      </c>
      <c r="R40" s="81">
        <f ca="1">SUM(T23:T33)</f>
        <v>45729</v>
      </c>
    </row>
    <row r="41" spans="1:49">
      <c r="A41">
        <v>175</v>
      </c>
      <c r="B41">
        <f>FLOOR(A41/7,1)</f>
        <v>25</v>
      </c>
      <c r="C41">
        <f>A41-B41*7</f>
        <v>0</v>
      </c>
      <c r="D41" t="str">
        <f>CONCATENATE(B41,"+",C41)</f>
        <v>25+0</v>
      </c>
      <c r="F41">
        <f>-2.278843*10^(-6)*A41^4+1.402168*10^(-3)*A41^3-2.008726*10^(-1)*A41^2 +9.284121*A41-4.125956*10^1</f>
        <v>809.17687945312537</v>
      </c>
      <c r="G41" s="78" cm="1">
        <f t="array" aca="1" ref="G41" ca="1">INDIRECT(M41,TRUE)</f>
        <v>0</v>
      </c>
      <c r="H41" s="78" t="str" cm="1">
        <f t="array" aca="1" ref="H41" ca="1">_xlfn.IFS(G41=0,"0",OR(G41=$K$23,G41=$K$24,G41=$K$25,G41=$K$26,G41=$K$27,G41=$K$28),"VJ",OR(G41&lt;&gt;K30,G41&lt;&gt;$K$24,G41&lt;&gt;$K$25,G41&lt;&gt;$K$26,G41&lt;&gt;$K$27,G41&lt;&gt;$K$28),"M")</f>
        <v>0</v>
      </c>
      <c r="I41" s="78"/>
      <c r="J41" s="78"/>
      <c r="K41" s="78" cm="1">
        <f t="array" aca="1" ref="K41" ca="1">IF(INDIRECT(M41,TRUE)="",0,INDIRECT(M41,TRUE))</f>
        <v>0</v>
      </c>
      <c r="L41" s="79">
        <f t="shared" si="4"/>
        <v>250</v>
      </c>
      <c r="M41" s="78" t="str">
        <f t="shared" si="2"/>
        <v>Målinger!C250</v>
      </c>
      <c r="N41" s="78"/>
      <c r="Q41" t="s">
        <v>698</v>
      </c>
    </row>
    <row r="42" spans="1:49">
      <c r="A42">
        <v>176</v>
      </c>
      <c r="B42">
        <f t="shared" ref="B42:B105" si="5">FLOOR(A42/7,1)</f>
        <v>25</v>
      </c>
      <c r="C42">
        <f>A42-B42*7</f>
        <v>1</v>
      </c>
      <c r="D42" t="str">
        <f t="shared" ref="D42:D105" si="6">CONCATENATE(B42,"+",C42)</f>
        <v>25+1</v>
      </c>
      <c r="F42">
        <f>-2.278843*10^(-6)*A42^4+1.402168*10^(-3)*A42^3-2.008726*10^(-1)*A42^2 +9.284121*A42-4.125956*10^1</f>
        <v>828.24341153843238</v>
      </c>
      <c r="G42" s="78" cm="1">
        <f t="array" aca="1" ref="G42" ca="1">INDIRECT(M42,TRUE)</f>
        <v>0</v>
      </c>
      <c r="H42" s="78" t="str" cm="1">
        <f t="array" aca="1" ref="H42" ca="1">_xlfn.IFS(G42=0,"0",OR(G42=$K$23,G42=$K$24,G42=$K$25,G42=$K$26,G42=$K$27,G42=$K$28),"VJ",OR(G42&lt;&gt;K31,G42&lt;&gt;$K$24,G42&lt;&gt;$K$25,G42&lt;&gt;$K$26,G42&lt;&gt;$K$27,G42&lt;&gt;$K$28),"M")</f>
        <v>0</v>
      </c>
      <c r="I42" s="78"/>
      <c r="J42" s="78"/>
      <c r="K42" s="78" cm="1">
        <f t="array" aca="1" ref="K42" ca="1">IF(INDIRECT(M42,TRUE)="",0,INDIRECT(M42,TRUE))</f>
        <v>0</v>
      </c>
      <c r="L42" s="79">
        <f t="shared" si="4"/>
        <v>285</v>
      </c>
      <c r="M42" s="78" t="str">
        <f t="shared" si="2"/>
        <v>Målinger!C285</v>
      </c>
      <c r="N42" s="78"/>
    </row>
    <row r="43" spans="1:49">
      <c r="A43">
        <v>177</v>
      </c>
      <c r="B43">
        <f t="shared" si="5"/>
        <v>25</v>
      </c>
      <c r="C43">
        <f t="shared" ref="C43:C106" si="7">A43-B43*7</f>
        <v>2</v>
      </c>
      <c r="D43" t="str">
        <f t="shared" si="6"/>
        <v>25+2</v>
      </c>
      <c r="F43">
        <f>-2.278843*10^(-6)*A43^4+1.402168*10^(-3)*A43^3-2.008726*10^(-1)*A43^2 +9.284121*A43-4.125956*10^1</f>
        <v>847.54180998483821</v>
      </c>
      <c r="G43" s="78" cm="1">
        <f t="array" aca="1" ref="G43" ca="1">INDIRECT(M43,TRUE)</f>
        <v>0</v>
      </c>
      <c r="H43" s="78" t="str" cm="1">
        <f t="array" aca="1" ref="H43" ca="1">_xlfn.IFS(G43=0,"0",OR(G43=$K$23,G43=$K$24,G43=$K$25,G43=$K$26,G43=$K$27,G43=$K$28),"VJ",OR(G43&lt;&gt;K32,G43&lt;&gt;$K$24,G43&lt;&gt;$K$25,G43&lt;&gt;$K$26,G43&lt;&gt;$K$27,G43&lt;&gt;$K$28),"M")</f>
        <v>0</v>
      </c>
      <c r="I43" s="78"/>
      <c r="J43" s="78"/>
      <c r="K43" s="78" cm="1">
        <f t="array" aca="1" ref="K43" ca="1">IF(INDIRECT(M43,TRUE)="",0,INDIRECT(M43,TRUE))</f>
        <v>0</v>
      </c>
      <c r="L43" s="79">
        <f t="shared" si="4"/>
        <v>320</v>
      </c>
      <c r="M43" s="78" t="str">
        <f t="shared" si="2"/>
        <v>Målinger!C320</v>
      </c>
      <c r="N43" s="78"/>
    </row>
    <row r="44" spans="1:49">
      <c r="A44">
        <v>178</v>
      </c>
      <c r="B44">
        <f t="shared" si="5"/>
        <v>25</v>
      </c>
      <c r="C44">
        <f t="shared" si="7"/>
        <v>3</v>
      </c>
      <c r="D44" t="str">
        <f t="shared" si="6"/>
        <v>25+3</v>
      </c>
      <c r="F44">
        <f>-2.278843*10^(-6)*A44^4+1.402168*10^(-3)*A44^3-2.008726*10^(-1)*A44^2 +9.284121*A44-4.125956*10^1</f>
        <v>867.07083462139235</v>
      </c>
      <c r="G44" s="78" cm="1">
        <f t="array" aca="1" ref="G44" ca="1">INDIRECT(M44,TRUE)</f>
        <v>0</v>
      </c>
      <c r="H44" s="78" t="str" cm="1">
        <f t="array" aca="1" ref="H44" ca="1">_xlfn.IFS(G44=0,"0",OR(G44=$K$23,G44=$K$24,G44=$K$25,G44=$K$26,G44=$K$27,G44=$K$28),"VJ",OR(G44&lt;&gt;K33,G44&lt;&gt;$K$24,G44&lt;&gt;$K$25,G44&lt;&gt;$K$26,G44&lt;&gt;$K$27,G44&lt;&gt;$K$28),"M")</f>
        <v>0</v>
      </c>
      <c r="I44" s="78"/>
      <c r="J44" s="78"/>
      <c r="K44" s="78" cm="1">
        <f t="array" aca="1" ref="K44" ca="1">IF(INDIRECT(M44,TRUE)="",0,INDIRECT(M44,TRUE))</f>
        <v>0</v>
      </c>
      <c r="L44" s="79">
        <f t="shared" si="4"/>
        <v>355</v>
      </c>
      <c r="M44" s="78" t="str">
        <f t="shared" si="2"/>
        <v>Målinger!C355</v>
      </c>
      <c r="N44" s="78"/>
      <c r="Q44" t="s">
        <v>192</v>
      </c>
      <c r="R44" cm="1">
        <f t="array" aca="1" ref="R44" ca="1">IF(ultermin=0,"",Vandrejournal!C9)</f>
        <v>45952</v>
      </c>
    </row>
    <row r="45" spans="1:49">
      <c r="A45">
        <v>179</v>
      </c>
      <c r="B45">
        <f t="shared" si="5"/>
        <v>25</v>
      </c>
      <c r="C45">
        <f t="shared" si="7"/>
        <v>4</v>
      </c>
      <c r="D45" t="str">
        <f t="shared" si="6"/>
        <v>25+4</v>
      </c>
      <c r="F45">
        <f>-2.278843*10^(-6)*A45^4+1.402168*10^(-3)*A45^3-2.008726*10^(-1)*A45^2 +9.284121*A45-4.125956*10^1</f>
        <v>886.8291905849178</v>
      </c>
      <c r="G45" s="78" cm="1">
        <f t="array" aca="1" ref="G45" ca="1">INDIRECT(M45,TRUE)</f>
        <v>0</v>
      </c>
      <c r="H45" s="78" t="str" cm="1">
        <f t="array" aca="1" ref="H45" ca="1">_xlfn.IFS(G45=0,"0",OR(G45=$K$23,G45=$K$24,G45=$K$25,G45=$K$26,G45=$K$27,G45=$K$28),"VJ",OR(G45&lt;&gt;K34,G45&lt;&gt;$K$24,G45&lt;&gt;$K$25,G45&lt;&gt;$K$26,G45&lt;&gt;$K$27,G45&lt;&gt;$K$28),"M")</f>
        <v>0</v>
      </c>
      <c r="I45" s="78"/>
      <c r="J45" s="78"/>
      <c r="K45" s="78" cm="1">
        <f t="array" aca="1" ref="K45" ca="1">IF(INDIRECT(M45,TRUE)="",0,INDIRECT(M45,TRUE))</f>
        <v>0</v>
      </c>
      <c r="L45" s="79">
        <f t="shared" ref="L45:L49" si="8">L44+35</f>
        <v>390</v>
      </c>
      <c r="M45" s="78" t="str">
        <f t="shared" si="2"/>
        <v>Målinger!C390</v>
      </c>
      <c r="N45" s="78"/>
      <c r="Q45" t="s">
        <v>699</v>
      </c>
      <c r="R45" cm="1">
        <f t="array" aca="1" ref="R45" ca="1">IF(ultermin=0,"0",R44-R39)</f>
        <v>0</v>
      </c>
      <c r="AW45" s="103"/>
    </row>
    <row r="46" spans="1:49">
      <c r="A46">
        <v>180</v>
      </c>
      <c r="B46">
        <f t="shared" si="5"/>
        <v>25</v>
      </c>
      <c r="C46">
        <f t="shared" si="7"/>
        <v>5</v>
      </c>
      <c r="D46" t="str">
        <f t="shared" si="6"/>
        <v>25+5</v>
      </c>
      <c r="F46">
        <f>-2.278843*10^(-6)*A46^4+1.402168*10^(-3)*A46^3-2.008726*10^(-1)*A46^2 +9.284121*A46-4.125956*10^1</f>
        <v>906.81552832000102</v>
      </c>
      <c r="G46" s="78" cm="1">
        <f t="array" aca="1" ref="G46" ca="1">INDIRECT(M46,TRUE)</f>
        <v>0</v>
      </c>
      <c r="H46" s="78" t="str" cm="1">
        <f t="array" aca="1" ref="H46" ca="1">_xlfn.IFS(G46=0,"0",OR(G46=$K$23,G46=$K$24,G46=$K$25,G46=$K$26,G46=$K$27,G46=$K$28),"VJ",OR(G46&lt;&gt;K35,G46&lt;&gt;$K$24,G46&lt;&gt;$K$25,G46&lt;&gt;$K$26,G46&lt;&gt;$K$27,G46&lt;&gt;$K$28),"M")</f>
        <v>0</v>
      </c>
      <c r="I46" s="78"/>
      <c r="J46" s="78"/>
      <c r="K46" s="78" cm="1">
        <f t="array" aca="1" ref="K46" ca="1">IF(INDIRECT(M46,TRUE)="",0,INDIRECT(M46,TRUE))</f>
        <v>0</v>
      </c>
      <c r="L46" s="79">
        <f t="shared" si="8"/>
        <v>425</v>
      </c>
      <c r="M46" s="78" t="str">
        <f t="shared" si="2"/>
        <v>Målinger!C425</v>
      </c>
      <c r="N46" s="78"/>
    </row>
    <row r="47" spans="1:49">
      <c r="A47">
        <v>181</v>
      </c>
      <c r="B47">
        <f t="shared" si="5"/>
        <v>25</v>
      </c>
      <c r="C47">
        <f t="shared" si="7"/>
        <v>6</v>
      </c>
      <c r="D47" t="str">
        <f t="shared" si="6"/>
        <v>25+6</v>
      </c>
      <c r="F47">
        <f>-2.278843*10^(-6)*A47^4+1.402168*10^(-3)*A47^3-2.008726*10^(-1)*A47^2 +9.284121*A47-4.125956*10^1</f>
        <v>927.02844357899721</v>
      </c>
      <c r="G47" s="78" cm="1">
        <f t="array" aca="1" ref="G47" ca="1">INDIRECT(M47,TRUE)</f>
        <v>0</v>
      </c>
      <c r="H47" s="78" t="str" cm="1">
        <f t="array" aca="1" ref="H47" ca="1">_xlfn.IFS(G47=0,"0",OR(G47=$K$23,G47=$K$24,G47=$K$25,G47=$K$26,G47=$K$27,G47=$K$28),"VJ",OR(G47&lt;&gt;K36,G47&lt;&gt;$K$24,G47&lt;&gt;$K$25,G47&lt;&gt;$K$26,G47&lt;&gt;$K$27,G47&lt;&gt;$K$28),"M")</f>
        <v>0</v>
      </c>
      <c r="I47" s="78"/>
      <c r="J47" s="78"/>
      <c r="K47" s="78" cm="1">
        <f t="array" aca="1" ref="K47" ca="1">IF(INDIRECT(M47,TRUE)="",0,INDIRECT(M47,TRUE))</f>
        <v>0</v>
      </c>
      <c r="L47" s="79">
        <f t="shared" si="8"/>
        <v>460</v>
      </c>
      <c r="M47" s="78" t="str">
        <f t="shared" ref="M47:M49" si="9">CONCATENATE("Målinger!C",L47)</f>
        <v>Målinger!C460</v>
      </c>
      <c r="N47" s="78"/>
      <c r="Q47" s="1" t="s">
        <v>700</v>
      </c>
      <c r="R47" s="1" t="s">
        <v>308</v>
      </c>
      <c r="S47" s="1"/>
      <c r="U47" s="101" t="s">
        <v>700</v>
      </c>
      <c r="V47" s="101" t="s">
        <v>701</v>
      </c>
      <c r="W47" s="1"/>
      <c r="Y47" s="1" t="s">
        <v>700</v>
      </c>
      <c r="Z47" s="101" t="s">
        <v>381</v>
      </c>
      <c r="AA47" s="1"/>
    </row>
    <row r="48" spans="1:49">
      <c r="A48">
        <v>182</v>
      </c>
      <c r="B48">
        <f t="shared" si="5"/>
        <v>26</v>
      </c>
      <c r="C48">
        <f t="shared" si="7"/>
        <v>0</v>
      </c>
      <c r="D48" t="str">
        <f t="shared" si="6"/>
        <v>26+0</v>
      </c>
      <c r="F48">
        <f>-2.278843*10^(-6)*A48^4+1.402168*10^(-3)*A48^3-2.008726*10^(-1)*A48^2 +9.284121*A48-4.125956*10^1</f>
        <v>947.46647742203231</v>
      </c>
      <c r="G48" s="78" cm="1">
        <f t="array" aca="1" ref="G48" ca="1">INDIRECT(M48,TRUE)</f>
        <v>0</v>
      </c>
      <c r="H48" s="78" t="str" cm="1">
        <f t="array" aca="1" ref="H48" ca="1">_xlfn.IFS(G48=0,"0",OR(G48=$K$23,G48=$K$24,G48=$K$25,G48=$K$26,G48=$K$27,G48=$K$28),"VJ",OR(G48&lt;&gt;K37,G48&lt;&gt;$K$24,G48&lt;&gt;$K$25,G48&lt;&gt;$K$26,G48&lt;&gt;$K$27,G48&lt;&gt;$K$28),"M")</f>
        <v>0</v>
      </c>
      <c r="I48" s="78"/>
      <c r="J48" s="78"/>
      <c r="K48" s="78" cm="1">
        <f t="array" aca="1" ref="K48" ca="1">IF(INDIRECT(M48,TRUE)="",0,INDIRECT(M48,TRUE))</f>
        <v>0</v>
      </c>
      <c r="L48" s="79">
        <f t="shared" si="8"/>
        <v>495</v>
      </c>
      <c r="M48" s="78" t="str">
        <f t="shared" si="9"/>
        <v>Målinger!C495</v>
      </c>
      <c r="N48" s="78"/>
      <c r="Q48" s="1" t="s">
        <v>702</v>
      </c>
      <c r="R48" s="1" t="s">
        <v>703</v>
      </c>
      <c r="S48" s="1" t="s">
        <v>704</v>
      </c>
      <c r="U48" s="1" t="s">
        <v>702</v>
      </c>
      <c r="V48" s="101" t="s">
        <v>703</v>
      </c>
      <c r="W48" s="1" t="s">
        <v>704</v>
      </c>
      <c r="Y48" s="1" t="s">
        <v>702</v>
      </c>
      <c r="Z48" s="1" t="s">
        <v>703</v>
      </c>
      <c r="AA48" s="1" t="s">
        <v>704</v>
      </c>
      <c r="AB48" s="125" t="s">
        <v>705</v>
      </c>
    </row>
    <row r="49" spans="1:27">
      <c r="A49">
        <v>183</v>
      </c>
      <c r="B49">
        <f t="shared" si="5"/>
        <v>26</v>
      </c>
      <c r="C49">
        <f t="shared" si="7"/>
        <v>1</v>
      </c>
      <c r="D49" t="str">
        <f t="shared" si="6"/>
        <v>26+1</v>
      </c>
      <c r="F49">
        <f>-2.278843*10^(-6)*A49^4+1.402168*10^(-3)*A49^3-2.008726*10^(-1)*A49^2 +9.284121*A49-4.125956*10^1</f>
        <v>968.12811621699689</v>
      </c>
      <c r="G49" s="78" cm="1">
        <f t="array" aca="1" ref="G49" ca="1">INDIRECT(M49,TRUE)</f>
        <v>0</v>
      </c>
      <c r="H49" s="78" t="str" cm="1">
        <f t="array" aca="1" ref="H49" ca="1">_xlfn.IFS(G49=0,"0",OR(G49=$K$23,G49=$K$24,G49=$K$25,G49=$K$26,G49=$K$27,G49=$K$28),"VJ",OR(G49&lt;&gt;K38,G49&lt;&gt;$K$24,G49&lt;&gt;$K$25,G49&lt;&gt;$K$26,G49&lt;&gt;$K$27,G49&lt;&gt;$K$28),"M")</f>
        <v>0</v>
      </c>
      <c r="I49" s="78"/>
      <c r="J49" s="78"/>
      <c r="K49" s="78" cm="1">
        <f t="array" aca="1" ref="K49" ca="1">IF(INDIRECT(M49,TRUE)="",0,INDIRECT(M49,TRUE))</f>
        <v>0</v>
      </c>
      <c r="L49" s="79">
        <f t="shared" si="8"/>
        <v>530</v>
      </c>
      <c r="M49" s="78" t="str">
        <f t="shared" si="9"/>
        <v>Målinger!C530</v>
      </c>
      <c r="N49" s="78"/>
      <c r="P49" s="113" t="s">
        <v>706</v>
      </c>
      <c r="Q49" t="s">
        <v>455</v>
      </c>
      <c r="R49" t="s">
        <v>417</v>
      </c>
      <c r="S49" s="99" t="s">
        <v>707</v>
      </c>
      <c r="U49" s="102" t="s">
        <v>147</v>
      </c>
      <c r="V49" s="2" t="s">
        <v>147</v>
      </c>
      <c r="W49" s="2" t="s">
        <v>708</v>
      </c>
      <c r="Y49" s="102" t="s">
        <v>254</v>
      </c>
      <c r="Z49" s="2" t="s">
        <v>254</v>
      </c>
      <c r="AA49" s="2" t="s">
        <v>709</v>
      </c>
    </row>
    <row r="50" spans="1:27">
      <c r="A50">
        <v>184</v>
      </c>
      <c r="B50">
        <f t="shared" si="5"/>
        <v>26</v>
      </c>
      <c r="C50">
        <f t="shared" si="7"/>
        <v>2</v>
      </c>
      <c r="D50" t="str">
        <f t="shared" si="6"/>
        <v>26+2</v>
      </c>
      <c r="F50">
        <f>-2.278843*10^(-6)*A50^4+1.402168*10^(-3)*A50^3-2.008726*10^(-1)*A50^2 +9.284121*A50-4.125956*10^1</f>
        <v>989.01179163955294</v>
      </c>
      <c r="Q50" t="s">
        <v>497</v>
      </c>
      <c r="R50" t="s">
        <v>417</v>
      </c>
      <c r="S50" s="100" t="s">
        <v>710</v>
      </c>
      <c r="U50" s="103" t="s">
        <v>148</v>
      </c>
      <c r="V50" s="2" t="s">
        <v>147</v>
      </c>
      <c r="W50" s="2" t="s">
        <v>711</v>
      </c>
      <c r="Y50" s="103" t="s">
        <v>255</v>
      </c>
      <c r="Z50" s="2" t="s">
        <v>254</v>
      </c>
      <c r="AA50" s="2" t="s">
        <v>712</v>
      </c>
    </row>
    <row r="51" spans="1:27">
      <c r="A51">
        <v>185</v>
      </c>
      <c r="B51">
        <f t="shared" si="5"/>
        <v>26</v>
      </c>
      <c r="C51">
        <f t="shared" si="7"/>
        <v>3</v>
      </c>
      <c r="D51" t="str">
        <f t="shared" si="6"/>
        <v>26+3</v>
      </c>
      <c r="F51">
        <f>-2.278843*10^(-6)*A51^4+1.402168*10^(-3)*A51^3-2.008726*10^(-1)*A51^2 +9.284121*A51-4.125956*10^1</f>
        <v>1010.1158806731269</v>
      </c>
      <c r="O51" t="s">
        <v>713</v>
      </c>
      <c r="P51" s="113" t="s">
        <v>714</v>
      </c>
      <c r="Q51" t="s">
        <v>456</v>
      </c>
      <c r="R51" t="s">
        <v>345</v>
      </c>
      <c r="S51" s="99" t="s">
        <v>715</v>
      </c>
      <c r="U51" s="102" t="s">
        <v>132</v>
      </c>
      <c r="V51" s="2" t="s">
        <v>132</v>
      </c>
      <c r="W51" s="2" t="s">
        <v>716</v>
      </c>
      <c r="Y51" s="103" t="s">
        <v>257</v>
      </c>
      <c r="Z51" s="2" t="s">
        <v>254</v>
      </c>
      <c r="AA51" s="2" t="s">
        <v>717</v>
      </c>
    </row>
    <row r="52" spans="1:27">
      <c r="A52">
        <v>186</v>
      </c>
      <c r="B52">
        <f t="shared" si="5"/>
        <v>26</v>
      </c>
      <c r="C52">
        <f t="shared" si="7"/>
        <v>4</v>
      </c>
      <c r="D52" t="str">
        <f t="shared" si="6"/>
        <v>26+4</v>
      </c>
      <c r="F52">
        <f>-2.278843*10^(-6)*A52^4+1.402168*10^(-3)*A52^3-2.008726*10^(-1)*A52^2 +9.284121*A52-4.125956*10^1</f>
        <v>1031.4387056089124</v>
      </c>
      <c r="O52" t="s">
        <v>718</v>
      </c>
      <c r="P52" s="113" t="s">
        <v>719</v>
      </c>
      <c r="Q52" t="s">
        <v>498</v>
      </c>
      <c r="R52" t="s">
        <v>345</v>
      </c>
      <c r="S52" s="100" t="s">
        <v>720</v>
      </c>
      <c r="U52" s="103" t="s">
        <v>135</v>
      </c>
      <c r="V52" s="2" t="s">
        <v>132</v>
      </c>
      <c r="W52" s="2" t="s">
        <v>721</v>
      </c>
      <c r="Y52" s="103" t="s">
        <v>259</v>
      </c>
      <c r="Z52" s="2" t="s">
        <v>254</v>
      </c>
      <c r="AA52" s="2" t="s">
        <v>722</v>
      </c>
    </row>
    <row r="53" spans="1:27">
      <c r="A53">
        <v>187</v>
      </c>
      <c r="B53">
        <f t="shared" si="5"/>
        <v>26</v>
      </c>
      <c r="C53">
        <f t="shared" si="7"/>
        <v>5</v>
      </c>
      <c r="D53" t="str">
        <f t="shared" si="6"/>
        <v>26+5</v>
      </c>
      <c r="F53">
        <f>-2.278843*10^(-6)*A53^4+1.402168*10^(-3)*A53^3-2.008726*10^(-1)*A53^2 +9.284121*A53-4.125956*10^1</f>
        <v>1052.9785340458777</v>
      </c>
      <c r="O53" t="s">
        <v>723</v>
      </c>
      <c r="P53" s="113" t="s">
        <v>724</v>
      </c>
      <c r="Q53" t="s">
        <v>530</v>
      </c>
      <c r="R53" t="s">
        <v>345</v>
      </c>
      <c r="S53" s="100" t="s">
        <v>725</v>
      </c>
      <c r="U53" s="103" t="s">
        <v>133</v>
      </c>
      <c r="V53" s="2" t="s">
        <v>132</v>
      </c>
      <c r="W53" s="2" t="s">
        <v>726</v>
      </c>
      <c r="Y53" s="103" t="s">
        <v>256</v>
      </c>
      <c r="Z53" s="2" t="s">
        <v>254</v>
      </c>
      <c r="AA53" s="2" t="s">
        <v>727</v>
      </c>
    </row>
    <row r="54" spans="1:27">
      <c r="A54">
        <v>188</v>
      </c>
      <c r="B54">
        <f t="shared" si="5"/>
        <v>26</v>
      </c>
      <c r="C54">
        <f t="shared" si="7"/>
        <v>6</v>
      </c>
      <c r="D54" t="str">
        <f t="shared" si="6"/>
        <v>26+6</v>
      </c>
      <c r="F54">
        <f>-2.278843*10^(-6)*A54^4+1.402168*10^(-3)*A54^3-2.008726*10^(-1)*A54^2 +9.284121*A54-4.125956*10^1</f>
        <v>1074.7335788907526</v>
      </c>
      <c r="O54" t="s">
        <v>728</v>
      </c>
      <c r="P54" s="113" t="s">
        <v>729</v>
      </c>
      <c r="Q54" t="s">
        <v>553</v>
      </c>
      <c r="R54" t="s">
        <v>345</v>
      </c>
      <c r="S54" s="100" t="s">
        <v>730</v>
      </c>
      <c r="U54" s="103" t="s">
        <v>134</v>
      </c>
      <c r="V54" s="2" t="s">
        <v>132</v>
      </c>
      <c r="W54" s="2" t="s">
        <v>731</v>
      </c>
      <c r="Y54" s="103" t="s">
        <v>258</v>
      </c>
      <c r="Z54" s="2" t="s">
        <v>254</v>
      </c>
      <c r="AA54" s="2" t="s">
        <v>727</v>
      </c>
    </row>
    <row r="55" spans="1:27">
      <c r="A55">
        <v>189</v>
      </c>
      <c r="B55">
        <f t="shared" si="5"/>
        <v>27</v>
      </c>
      <c r="C55">
        <f t="shared" si="7"/>
        <v>0</v>
      </c>
      <c r="D55" t="str">
        <f t="shared" si="6"/>
        <v>27+0</v>
      </c>
      <c r="F55">
        <f>-2.278843*10^(-6)*A55^4+1.402168*10^(-3)*A55^3-2.008726*10^(-1)*A55^2 +9.284121*A55-4.125956*10^1</f>
        <v>1096.7019983580383</v>
      </c>
      <c r="O55">
        <v>1</v>
      </c>
      <c r="P55" s="113" t="s">
        <v>732</v>
      </c>
      <c r="Q55" t="s">
        <v>457</v>
      </c>
      <c r="R55" t="s">
        <v>344</v>
      </c>
      <c r="S55" s="100" t="s">
        <v>733</v>
      </c>
      <c r="U55" s="103" t="s">
        <v>136</v>
      </c>
      <c r="V55" s="2" t="s">
        <v>132</v>
      </c>
      <c r="W55" s="2" t="s">
        <v>734</v>
      </c>
      <c r="Y55" s="103" t="s">
        <v>261</v>
      </c>
      <c r="Z55" s="2" t="s">
        <v>254</v>
      </c>
      <c r="AA55" s="2" t="s">
        <v>735</v>
      </c>
    </row>
    <row r="56" spans="1:27">
      <c r="A56">
        <v>190</v>
      </c>
      <c r="B56">
        <f t="shared" si="5"/>
        <v>27</v>
      </c>
      <c r="C56">
        <f t="shared" si="7"/>
        <v>1</v>
      </c>
      <c r="D56" t="str">
        <f t="shared" si="6"/>
        <v>27+1</v>
      </c>
      <c r="F56">
        <f>-2.278843*10^(-6)*A56^4+1.402168*10^(-3)*A56^3-2.008726*10^(-1)*A56^2 +9.284121*A56-4.125956*10^1</f>
        <v>1118.8818959700022</v>
      </c>
      <c r="O56">
        <v>2</v>
      </c>
      <c r="P56" s="113" t="s">
        <v>736</v>
      </c>
      <c r="Q56" t="s">
        <v>499</v>
      </c>
      <c r="R56" t="s">
        <v>344</v>
      </c>
      <c r="S56" s="100" t="s">
        <v>737</v>
      </c>
      <c r="U56" s="103" t="s">
        <v>138</v>
      </c>
      <c r="V56" s="2" t="s">
        <v>132</v>
      </c>
      <c r="W56" s="2" t="s">
        <v>738</v>
      </c>
      <c r="Y56" s="102" t="s">
        <v>230</v>
      </c>
      <c r="Z56" s="2" t="s">
        <v>230</v>
      </c>
      <c r="AA56" s="2" t="s">
        <v>739</v>
      </c>
    </row>
    <row r="57" spans="1:27">
      <c r="A57">
        <v>191</v>
      </c>
      <c r="B57">
        <f t="shared" si="5"/>
        <v>27</v>
      </c>
      <c r="C57">
        <f t="shared" si="7"/>
        <v>2</v>
      </c>
      <c r="D57" t="str">
        <f t="shared" si="6"/>
        <v>27+2</v>
      </c>
      <c r="F57">
        <f>-2.278843*10^(-6)*A57^4+1.402168*10^(-3)*A57^3-2.008726*10^(-1)*A57^2 +9.284121*A57-4.125956*10^1</f>
        <v>1141.2713205566783</v>
      </c>
      <c r="Q57" t="s">
        <v>351</v>
      </c>
      <c r="R57" t="s">
        <v>344</v>
      </c>
      <c r="S57" s="100" t="s">
        <v>740</v>
      </c>
      <c r="U57" s="103" t="s">
        <v>139</v>
      </c>
      <c r="V57" s="2" t="s">
        <v>132</v>
      </c>
      <c r="W57" s="2" t="s">
        <v>741</v>
      </c>
      <c r="Y57" s="103" t="s">
        <v>233</v>
      </c>
      <c r="Z57" s="2" t="s">
        <v>230</v>
      </c>
      <c r="AA57" s="2" t="s">
        <v>742</v>
      </c>
    </row>
    <row r="58" spans="1:27" ht="27">
      <c r="A58">
        <v>192</v>
      </c>
      <c r="B58">
        <f t="shared" si="5"/>
        <v>27</v>
      </c>
      <c r="C58">
        <f t="shared" si="7"/>
        <v>3</v>
      </c>
      <c r="D58" t="str">
        <f t="shared" si="6"/>
        <v>27+3</v>
      </c>
      <c r="F58">
        <f>-2.278843*10^(-6)*A58^4+1.402168*10^(-3)*A58^3-2.008726*10^(-1)*A58^2 +9.284121*A58-4.125956*10^1</f>
        <v>1163.868266255874</v>
      </c>
      <c r="O58">
        <v>1</v>
      </c>
      <c r="P58" s="113" t="s">
        <v>743</v>
      </c>
      <c r="Q58" t="s">
        <v>458</v>
      </c>
      <c r="R58" t="s">
        <v>343</v>
      </c>
      <c r="S58" s="100" t="s">
        <v>744</v>
      </c>
      <c r="U58" s="103" t="s">
        <v>140</v>
      </c>
      <c r="V58" s="2" t="s">
        <v>132</v>
      </c>
      <c r="W58" s="2" t="s">
        <v>745</v>
      </c>
      <c r="Y58" s="104" t="s">
        <v>251</v>
      </c>
      <c r="Z58" s="2" t="s">
        <v>230</v>
      </c>
      <c r="AA58" s="2" t="s">
        <v>746</v>
      </c>
    </row>
    <row r="59" spans="1:27">
      <c r="A59">
        <v>193</v>
      </c>
      <c r="B59">
        <f t="shared" si="5"/>
        <v>27</v>
      </c>
      <c r="C59">
        <f t="shared" si="7"/>
        <v>4</v>
      </c>
      <c r="D59" t="str">
        <f t="shared" si="6"/>
        <v>27+4</v>
      </c>
      <c r="F59">
        <f>-2.278843*10^(-6)*A59^4+1.402168*10^(-3)*A59^3-2.008726*10^(-1)*A59^2 +9.284121*A59-4.125956*10^1</f>
        <v>1186.6706725131564</v>
      </c>
      <c r="O59">
        <v>2</v>
      </c>
      <c r="P59" s="113" t="s">
        <v>747</v>
      </c>
      <c r="Q59" t="s">
        <v>500</v>
      </c>
      <c r="R59" t="s">
        <v>343</v>
      </c>
      <c r="S59" s="100" t="s">
        <v>748</v>
      </c>
      <c r="U59" s="104" t="s">
        <v>141</v>
      </c>
      <c r="V59" s="2" t="s">
        <v>132</v>
      </c>
      <c r="W59" s="2" t="s">
        <v>749</v>
      </c>
      <c r="Y59" s="109" t="s">
        <v>750</v>
      </c>
      <c r="Z59" s="2" t="s">
        <v>230</v>
      </c>
      <c r="AA59" s="2"/>
    </row>
    <row r="60" spans="1:27">
      <c r="A60">
        <v>194</v>
      </c>
      <c r="B60">
        <f t="shared" si="5"/>
        <v>27</v>
      </c>
      <c r="C60">
        <f t="shared" si="7"/>
        <v>5</v>
      </c>
      <c r="D60" t="str">
        <f t="shared" si="6"/>
        <v>27+5</v>
      </c>
      <c r="F60">
        <f>-2.278843*10^(-6)*A60^4+1.402168*10^(-3)*A60^3-2.008726*10^(-1)*A60^2 +9.284121*A60-4.125956*10^1</f>
        <v>1209.6764240818725</v>
      </c>
      <c r="O60">
        <v>1</v>
      </c>
      <c r="P60" s="113" t="s">
        <v>751</v>
      </c>
      <c r="Q60" t="s">
        <v>459</v>
      </c>
      <c r="R60" t="s">
        <v>347</v>
      </c>
      <c r="S60" s="100" t="s">
        <v>752</v>
      </c>
      <c r="U60" s="105"/>
      <c r="W60" s="2"/>
      <c r="Y60" s="105"/>
      <c r="Z60" s="2" t="s">
        <v>230</v>
      </c>
      <c r="AA60" s="2"/>
    </row>
    <row r="61" spans="1:27">
      <c r="A61">
        <v>195</v>
      </c>
      <c r="B61">
        <f t="shared" si="5"/>
        <v>27</v>
      </c>
      <c r="C61">
        <f t="shared" si="7"/>
        <v>6</v>
      </c>
      <c r="D61" t="str">
        <f t="shared" si="6"/>
        <v>27+6</v>
      </c>
      <c r="F61">
        <f>-2.278843*10^(-6)*A61^4+1.402168*10^(-3)*A61^3-2.008726*10^(-1)*A61^2 +9.284121*A61-4.125956*10^1</f>
        <v>1232.8833510231261</v>
      </c>
      <c r="O61">
        <v>2</v>
      </c>
      <c r="P61" s="113" t="s">
        <v>753</v>
      </c>
      <c r="Q61" t="s">
        <v>501</v>
      </c>
      <c r="R61" t="s">
        <v>347</v>
      </c>
      <c r="S61" s="100" t="s">
        <v>754</v>
      </c>
      <c r="U61" s="102" t="s">
        <v>82</v>
      </c>
      <c r="V61" s="2" t="s">
        <v>82</v>
      </c>
      <c r="W61" s="2" t="s">
        <v>755</v>
      </c>
      <c r="Y61" s="104" t="s">
        <v>252</v>
      </c>
      <c r="Z61" s="2" t="s">
        <v>230</v>
      </c>
      <c r="AA61" s="2" t="s">
        <v>746</v>
      </c>
    </row>
    <row r="62" spans="1:27">
      <c r="A62">
        <v>196</v>
      </c>
      <c r="B62">
        <f t="shared" si="5"/>
        <v>28</v>
      </c>
      <c r="C62">
        <f t="shared" si="7"/>
        <v>0</v>
      </c>
      <c r="D62" t="str">
        <f t="shared" si="6"/>
        <v>28+0</v>
      </c>
      <c r="F62">
        <f>-2.278843*10^(-6)*A62^4+1.402168*10^(-3)*A62^3-2.008726*10^(-1)*A62^2 +9.284121*A62-4.125956*10^1</f>
        <v>1256.2892287057923</v>
      </c>
      <c r="O62">
        <v>1</v>
      </c>
      <c r="P62" s="113" t="s">
        <v>756</v>
      </c>
      <c r="Q62" t="s">
        <v>351</v>
      </c>
      <c r="R62" t="s">
        <v>350</v>
      </c>
      <c r="S62" s="100" t="s">
        <v>757</v>
      </c>
      <c r="U62" s="103" t="s">
        <v>94</v>
      </c>
      <c r="V62" s="2" t="s">
        <v>82</v>
      </c>
      <c r="W62" s="2" t="s">
        <v>758</v>
      </c>
      <c r="Y62" s="110"/>
      <c r="Z62" s="2" t="s">
        <v>230</v>
      </c>
      <c r="AA62" s="2"/>
    </row>
    <row r="63" spans="1:27" ht="22.5">
      <c r="A63">
        <v>197</v>
      </c>
      <c r="B63">
        <f t="shared" si="5"/>
        <v>28</v>
      </c>
      <c r="C63">
        <f t="shared" si="7"/>
        <v>1</v>
      </c>
      <c r="D63" t="str">
        <f t="shared" si="6"/>
        <v>28+1</v>
      </c>
      <c r="F63">
        <f>-2.278843*10^(-6)*A63^4+1.402168*10^(-3)*A63^3-2.008726*10^(-1)*A63^2 +9.284121*A63-4.125956*10^1</f>
        <v>1279.8917778065183</v>
      </c>
      <c r="O63">
        <v>2</v>
      </c>
      <c r="P63" s="114" t="s">
        <v>759</v>
      </c>
      <c r="Q63" t="s">
        <v>502</v>
      </c>
      <c r="R63" t="s">
        <v>350</v>
      </c>
      <c r="S63" s="100" t="s">
        <v>760</v>
      </c>
      <c r="U63" s="103" t="s">
        <v>761</v>
      </c>
      <c r="V63" s="2" t="s">
        <v>82</v>
      </c>
      <c r="W63" s="2" t="s">
        <v>762</v>
      </c>
      <c r="Y63" s="105"/>
      <c r="Z63" s="2" t="s">
        <v>230</v>
      </c>
      <c r="AA63" s="2"/>
    </row>
    <row r="64" spans="1:27">
      <c r="A64">
        <v>198</v>
      </c>
      <c r="B64">
        <f t="shared" si="5"/>
        <v>28</v>
      </c>
      <c r="C64">
        <f t="shared" si="7"/>
        <v>2</v>
      </c>
      <c r="D64" t="str">
        <f t="shared" si="6"/>
        <v>28+2</v>
      </c>
      <c r="F64">
        <f>-2.278843*10^(-6)*A64^4+1.402168*10^(-3)*A64^3-2.008726*10^(-1)*A64^2 +9.284121*A64-4.125956*10^1</f>
        <v>1303.6886643097141</v>
      </c>
      <c r="Q64" t="s">
        <v>531</v>
      </c>
      <c r="R64" t="s">
        <v>350</v>
      </c>
      <c r="S64" s="100" t="s">
        <v>763</v>
      </c>
      <c r="U64" s="103" t="s">
        <v>90</v>
      </c>
      <c r="V64" s="2" t="s">
        <v>82</v>
      </c>
      <c r="W64" s="2" t="s">
        <v>764</v>
      </c>
      <c r="Y64" s="103" t="s">
        <v>236</v>
      </c>
      <c r="Z64" s="2" t="s">
        <v>230</v>
      </c>
      <c r="AA64" s="2" t="s">
        <v>765</v>
      </c>
    </row>
    <row r="65" spans="1:27">
      <c r="A65">
        <v>199</v>
      </c>
      <c r="B65">
        <f t="shared" si="5"/>
        <v>28</v>
      </c>
      <c r="C65">
        <f t="shared" si="7"/>
        <v>3</v>
      </c>
      <c r="D65" t="str">
        <f t="shared" si="6"/>
        <v>28+3</v>
      </c>
      <c r="F65">
        <f>-2.278843*10^(-6)*A65^4+1.402168*10^(-3)*A65^3-2.008726*10^(-1)*A65^2 +9.284121*A65-4.125956*10^1</f>
        <v>1327.6774995075577</v>
      </c>
      <c r="Q65" s="41" t="s">
        <v>305</v>
      </c>
      <c r="S65" s="41" t="s">
        <v>305</v>
      </c>
      <c r="U65" s="103" t="s">
        <v>89</v>
      </c>
      <c r="V65" s="2" t="s">
        <v>82</v>
      </c>
      <c r="W65" s="2" t="s">
        <v>766</v>
      </c>
      <c r="Y65" s="103" t="s">
        <v>249</v>
      </c>
      <c r="Z65" s="2" t="s">
        <v>230</v>
      </c>
      <c r="AA65" s="2" t="s">
        <v>767</v>
      </c>
    </row>
    <row r="66" spans="1:27">
      <c r="A66">
        <v>200</v>
      </c>
      <c r="B66">
        <f t="shared" si="5"/>
        <v>28</v>
      </c>
      <c r="C66">
        <f t="shared" si="7"/>
        <v>4</v>
      </c>
      <c r="D66" t="str">
        <f t="shared" si="6"/>
        <v>28+4</v>
      </c>
      <c r="F66">
        <f>-2.278843*10^(-6)*A66^4+1.402168*10^(-3)*A66^3-2.008726*10^(-1)*A66^2 +9.284121*A66-4.125956*10^1</f>
        <v>1351.8558400000009</v>
      </c>
      <c r="U66" s="103" t="s">
        <v>92</v>
      </c>
      <c r="V66" s="2" t="s">
        <v>82</v>
      </c>
      <c r="W66" s="2" t="s">
        <v>768</v>
      </c>
      <c r="Y66" s="103" t="s">
        <v>250</v>
      </c>
      <c r="Z66" s="2" t="s">
        <v>230</v>
      </c>
      <c r="AA66" s="2" t="s">
        <v>765</v>
      </c>
    </row>
    <row r="67" spans="1:27">
      <c r="A67">
        <v>201</v>
      </c>
      <c r="B67">
        <f t="shared" si="5"/>
        <v>28</v>
      </c>
      <c r="C67">
        <f t="shared" si="7"/>
        <v>5</v>
      </c>
      <c r="D67" t="str">
        <f t="shared" si="6"/>
        <v>28+5</v>
      </c>
      <c r="F67">
        <f>-2.278843*10^(-6)*A67^4+1.402168*10^(-3)*A67^3-2.008726*10^(-1)*A67^2 +9.284121*A67-4.125956*10^1</f>
        <v>1376.2211876947586</v>
      </c>
      <c r="U67" s="103" t="s">
        <v>91</v>
      </c>
      <c r="V67" s="2" t="s">
        <v>82</v>
      </c>
      <c r="W67" s="2" t="s">
        <v>769</v>
      </c>
      <c r="Y67" s="103" t="s">
        <v>239</v>
      </c>
      <c r="Z67" s="2" t="s">
        <v>230</v>
      </c>
      <c r="AA67" s="2" t="s">
        <v>770</v>
      </c>
    </row>
    <row r="68" spans="1:27" ht="29.25">
      <c r="A68">
        <v>202</v>
      </c>
      <c r="B68">
        <f t="shared" si="5"/>
        <v>28</v>
      </c>
      <c r="C68">
        <f t="shared" si="7"/>
        <v>6</v>
      </c>
      <c r="D68" t="str">
        <f t="shared" si="6"/>
        <v>28+6</v>
      </c>
      <c r="F68">
        <f>-2.278843*10^(-6)*A68^4+1.402168*10^(-3)*A68^3-2.008726*10^(-1)*A68^2 +9.284121*A68-4.125956*10^1</f>
        <v>1400.7709898073119</v>
      </c>
      <c r="R68" s="99"/>
      <c r="U68" s="106" t="s">
        <v>160</v>
      </c>
      <c r="V68" s="2" t="s">
        <v>160</v>
      </c>
      <c r="W68" s="2" t="s">
        <v>771</v>
      </c>
      <c r="Y68" s="103" t="s">
        <v>245</v>
      </c>
      <c r="Z68" s="2" t="s">
        <v>230</v>
      </c>
      <c r="AA68" s="2" t="s">
        <v>772</v>
      </c>
    </row>
    <row r="69" spans="1:27">
      <c r="A69">
        <v>203</v>
      </c>
      <c r="B69">
        <f t="shared" si="5"/>
        <v>29</v>
      </c>
      <c r="C69">
        <f t="shared" si="7"/>
        <v>0</v>
      </c>
      <c r="D69" t="str">
        <f t="shared" si="6"/>
        <v>29+0</v>
      </c>
      <c r="F69">
        <f>-2.278843*10^(-6)*A69^4+1.402168*10^(-3)*A69^3-2.008726*10^(-1)*A69^2 +9.284121*A69-4.125956*10^1</f>
        <v>1425.5026388609183</v>
      </c>
      <c r="R69" s="100"/>
      <c r="U69" s="107"/>
      <c r="W69" s="2"/>
      <c r="Y69" s="103" t="s">
        <v>248</v>
      </c>
      <c r="Z69" s="2" t="s">
        <v>230</v>
      </c>
      <c r="AA69" s="2" t="s">
        <v>773</v>
      </c>
    </row>
    <row r="70" spans="1:27" ht="29.25">
      <c r="A70">
        <v>204</v>
      </c>
      <c r="B70">
        <f t="shared" si="5"/>
        <v>29</v>
      </c>
      <c r="C70">
        <f t="shared" si="7"/>
        <v>1</v>
      </c>
      <c r="D70" t="str">
        <f t="shared" si="6"/>
        <v>29+1</v>
      </c>
      <c r="F70">
        <f>-2.278843*10^(-6)*A70^4+1.402168*10^(-3)*A70^3-2.008726*10^(-1)*A70^2 +9.284121*A70-4.125956*10^1</f>
        <v>1450.4134726865932</v>
      </c>
      <c r="R70" s="99"/>
      <c r="U70" s="103" t="s">
        <v>160</v>
      </c>
      <c r="V70" s="2" t="s">
        <v>160</v>
      </c>
      <c r="W70" s="2" t="s">
        <v>774</v>
      </c>
      <c r="Y70" s="103" t="s">
        <v>775</v>
      </c>
      <c r="Z70" s="2" t="s">
        <v>230</v>
      </c>
      <c r="AA70" s="2" t="s">
        <v>738</v>
      </c>
    </row>
    <row r="71" spans="1:27" ht="29.25">
      <c r="A71">
        <v>205</v>
      </c>
      <c r="B71">
        <f t="shared" si="5"/>
        <v>29</v>
      </c>
      <c r="C71">
        <f t="shared" si="7"/>
        <v>2</v>
      </c>
      <c r="D71" t="str">
        <f t="shared" si="6"/>
        <v>29+2</v>
      </c>
      <c r="F71">
        <f>-2.278843*10^(-6)*A71^4+1.402168*10^(-3)*A71^3-2.008726*10^(-1)*A71^2 +9.284121*A71-4.125956*10^1</f>
        <v>1475.5007744231254</v>
      </c>
      <c r="R71" s="100"/>
      <c r="U71" s="102" t="s">
        <v>117</v>
      </c>
      <c r="V71" s="2" t="s">
        <v>117</v>
      </c>
      <c r="W71" s="2" t="s">
        <v>776</v>
      </c>
      <c r="Y71" s="103" t="s">
        <v>242</v>
      </c>
      <c r="Z71" s="2" t="s">
        <v>230</v>
      </c>
      <c r="AA71" s="2" t="s">
        <v>765</v>
      </c>
    </row>
    <row r="72" spans="1:27" ht="40.5">
      <c r="A72">
        <v>206</v>
      </c>
      <c r="B72">
        <f t="shared" si="5"/>
        <v>29</v>
      </c>
      <c r="C72">
        <f t="shared" si="7"/>
        <v>3</v>
      </c>
      <c r="D72" t="str">
        <f t="shared" si="6"/>
        <v>29+3</v>
      </c>
      <c r="F72">
        <f>-2.278843*10^(-6)*A72^4+1.402168*10^(-3)*A72^3-2.008726*10^(-1)*A72^2 +9.284121*A72-4.125956*10^1</f>
        <v>1500.7617725170728</v>
      </c>
      <c r="R72" s="100"/>
      <c r="U72" s="103" t="s">
        <v>121</v>
      </c>
      <c r="V72" s="2" t="s">
        <v>117</v>
      </c>
      <c r="W72" s="2" t="s">
        <v>777</v>
      </c>
      <c r="Y72" s="102" t="s">
        <v>198</v>
      </c>
      <c r="Z72" s="2" t="s">
        <v>198</v>
      </c>
      <c r="AA72" s="2" t="s">
        <v>778</v>
      </c>
    </row>
    <row r="73" spans="1:27" ht="40.5">
      <c r="A73">
        <v>207</v>
      </c>
      <c r="B73">
        <f t="shared" si="5"/>
        <v>29</v>
      </c>
      <c r="C73">
        <f t="shared" si="7"/>
        <v>4</v>
      </c>
      <c r="D73" t="str">
        <f t="shared" si="6"/>
        <v>29+4</v>
      </c>
      <c r="F73">
        <f>-2.278843*10^(-6)*A73^4+1.402168*10^(-3)*A73^3-2.008726*10^(-1)*A73^2 +9.284121*A73-4.125956*10^1</f>
        <v>1526.1936407227577</v>
      </c>
      <c r="R73" s="100"/>
      <c r="U73" s="103" t="s">
        <v>120</v>
      </c>
      <c r="V73" s="2" t="s">
        <v>117</v>
      </c>
      <c r="W73" s="2" t="s">
        <v>779</v>
      </c>
      <c r="Y73" s="103" t="s">
        <v>199</v>
      </c>
      <c r="Z73" s="2" t="s">
        <v>198</v>
      </c>
      <c r="AA73" s="2" t="s">
        <v>738</v>
      </c>
    </row>
    <row r="74" spans="1:27" ht="53.25">
      <c r="A74">
        <v>208</v>
      </c>
      <c r="B74">
        <f t="shared" si="5"/>
        <v>29</v>
      </c>
      <c r="C74">
        <f t="shared" si="7"/>
        <v>5</v>
      </c>
      <c r="D74" t="str">
        <f t="shared" si="6"/>
        <v>29+5</v>
      </c>
      <c r="F74">
        <f>-2.278843*10^(-6)*A74^4+1.402168*10^(-3)*A74^3-2.008726*10^(-1)*A74^2 +9.284121*A74-4.125956*10^1</f>
        <v>1551.793498102274</v>
      </c>
      <c r="R74" s="100"/>
      <c r="U74" s="103" t="s">
        <v>119</v>
      </c>
      <c r="V74" s="2" t="s">
        <v>117</v>
      </c>
      <c r="W74" s="2" t="s">
        <v>780</v>
      </c>
      <c r="Y74" s="103" t="s">
        <v>198</v>
      </c>
      <c r="Z74" s="2" t="s">
        <v>198</v>
      </c>
      <c r="AA74" s="2" t="s">
        <v>781</v>
      </c>
    </row>
    <row r="75" spans="1:27" ht="29.25">
      <c r="A75">
        <v>209</v>
      </c>
      <c r="B75">
        <f t="shared" si="5"/>
        <v>29</v>
      </c>
      <c r="C75">
        <f t="shared" si="7"/>
        <v>6</v>
      </c>
      <c r="D75" t="str">
        <f t="shared" si="6"/>
        <v>29+6</v>
      </c>
      <c r="F75">
        <f>-2.278843*10^(-6)*A75^4+1.402168*10^(-3)*A75^3-2.008726*10^(-1)*A75^2 +9.284121*A75-4.125956*10^1</f>
        <v>1577.5584090254795</v>
      </c>
      <c r="R75" s="100"/>
      <c r="U75" s="103" t="s">
        <v>118</v>
      </c>
      <c r="V75" s="2" t="s">
        <v>117</v>
      </c>
      <c r="W75" s="2" t="s">
        <v>782</v>
      </c>
      <c r="Y75" s="102" t="s">
        <v>71</v>
      </c>
      <c r="Z75" s="2" t="s">
        <v>71</v>
      </c>
      <c r="AA75" s="2" t="s">
        <v>783</v>
      </c>
    </row>
    <row r="76" spans="1:27" ht="29.25">
      <c r="A76">
        <v>210</v>
      </c>
      <c r="B76">
        <f t="shared" si="5"/>
        <v>30</v>
      </c>
      <c r="C76">
        <f t="shared" si="7"/>
        <v>0</v>
      </c>
      <c r="D76" t="str">
        <f t="shared" si="6"/>
        <v>30+0</v>
      </c>
      <c r="F76">
        <f>-2.278843*10^(-6)*A76^4+1.402168*10^(-3)*A76^3-2.008726*10^(-1)*A76^2 +9.284121*A76-4.125956*10^1</f>
        <v>1603.4853831700011</v>
      </c>
      <c r="R76" s="100"/>
      <c r="U76" s="103" t="s">
        <v>126</v>
      </c>
      <c r="V76" s="2" t="s">
        <v>117</v>
      </c>
      <c r="W76" s="2" t="s">
        <v>784</v>
      </c>
      <c r="Y76" s="103" t="s">
        <v>280</v>
      </c>
      <c r="Z76" s="2" t="s">
        <v>71</v>
      </c>
      <c r="AA76" s="2" t="s">
        <v>785</v>
      </c>
    </row>
    <row r="77" spans="1:27">
      <c r="A77">
        <v>211</v>
      </c>
      <c r="B77">
        <f t="shared" si="5"/>
        <v>30</v>
      </c>
      <c r="C77">
        <f t="shared" si="7"/>
        <v>1</v>
      </c>
      <c r="D77" t="str">
        <f t="shared" si="6"/>
        <v>30+1</v>
      </c>
      <c r="F77">
        <f>-2.278843*10^(-6)*A77^4+1.402168*10^(-3)*A77^3-2.008726*10^(-1)*A77^2 +9.284121*A77-4.125956*10^1</f>
        <v>1629.5713755212369</v>
      </c>
      <c r="R77" s="100"/>
      <c r="U77" s="102" t="s">
        <v>113</v>
      </c>
      <c r="V77" s="2" t="s">
        <v>113</v>
      </c>
      <c r="W77" s="2" t="s">
        <v>786</v>
      </c>
      <c r="Y77" s="102" t="s">
        <v>260</v>
      </c>
      <c r="Z77" s="2" t="s">
        <v>260</v>
      </c>
      <c r="AA77" s="2" t="s">
        <v>787</v>
      </c>
    </row>
    <row r="78" spans="1:27">
      <c r="A78">
        <v>212</v>
      </c>
      <c r="B78">
        <f t="shared" si="5"/>
        <v>30</v>
      </c>
      <c r="C78">
        <f t="shared" si="7"/>
        <v>2</v>
      </c>
      <c r="D78" t="str">
        <f t="shared" si="6"/>
        <v>30+2</v>
      </c>
      <c r="F78">
        <f>-2.278843*10^(-6)*A78^4+1.402168*10^(-3)*A78^3-2.008726*10^(-1)*A78^2 +9.284121*A78-4.125956*10^1</f>
        <v>1655.8132863723529</v>
      </c>
      <c r="R78" s="100"/>
      <c r="U78" s="103" t="s">
        <v>113</v>
      </c>
      <c r="V78" s="2" t="s">
        <v>113</v>
      </c>
      <c r="W78" s="2" t="s">
        <v>788</v>
      </c>
      <c r="Y78" s="103" t="s">
        <v>260</v>
      </c>
      <c r="Z78" s="2" t="s">
        <v>260</v>
      </c>
      <c r="AA78" s="2" t="s">
        <v>787</v>
      </c>
    </row>
    <row r="79" spans="1:27">
      <c r="A79">
        <v>213</v>
      </c>
      <c r="B79">
        <f t="shared" si="5"/>
        <v>30</v>
      </c>
      <c r="C79">
        <f t="shared" si="7"/>
        <v>3</v>
      </c>
      <c r="D79" t="str">
        <f t="shared" si="6"/>
        <v>30+3</v>
      </c>
      <c r="F79">
        <f>-2.278843*10^(-6)*A79^4+1.402168*10^(-3)*A79^3-2.008726*10^(-1)*A79^2 +9.284121*A79-4.125956*10^1</f>
        <v>1682.2079613242797</v>
      </c>
      <c r="R79" s="100"/>
      <c r="U79" s="103" t="s">
        <v>114</v>
      </c>
      <c r="V79" s="2" t="s">
        <v>113</v>
      </c>
      <c r="W79" s="2" t="s">
        <v>789</v>
      </c>
      <c r="Y79" s="106" t="s">
        <v>790</v>
      </c>
      <c r="Z79" s="2" t="s">
        <v>790</v>
      </c>
      <c r="AA79" s="2"/>
    </row>
    <row r="80" spans="1:27">
      <c r="A80">
        <v>214</v>
      </c>
      <c r="B80">
        <f t="shared" si="5"/>
        <v>30</v>
      </c>
      <c r="C80">
        <f t="shared" si="7"/>
        <v>4</v>
      </c>
      <c r="D80" t="str">
        <f t="shared" si="6"/>
        <v>30+4</v>
      </c>
      <c r="F80">
        <f>-2.278843*10^(-6)*A80^4+1.402168*10^(-3)*A80^3-2.008726*10^(-1)*A80^2 +9.284121*A80-4.125956*10^1</f>
        <v>1708.7521912857142</v>
      </c>
      <c r="R80" s="100"/>
      <c r="U80" s="103" t="s">
        <v>115</v>
      </c>
      <c r="V80" s="2" t="s">
        <v>113</v>
      </c>
      <c r="W80" s="2" t="s">
        <v>738</v>
      </c>
      <c r="Y80" s="107"/>
      <c r="Z80" s="2" t="s">
        <v>790</v>
      </c>
      <c r="AA80" s="2" t="s">
        <v>791</v>
      </c>
    </row>
    <row r="81" spans="1:27" ht="27">
      <c r="A81">
        <v>215</v>
      </c>
      <c r="B81">
        <f t="shared" si="5"/>
        <v>30</v>
      </c>
      <c r="C81">
        <f t="shared" si="7"/>
        <v>5</v>
      </c>
      <c r="D81" t="str">
        <f t="shared" si="6"/>
        <v>30+5</v>
      </c>
      <c r="F81">
        <f>-2.278843*10^(-6)*A81^4+1.402168*10^(-3)*A81^3-2.008726*10^(-1)*A81^2 +9.284121*A81-4.125956*10^1</f>
        <v>1735.4427124731262</v>
      </c>
      <c r="R81" s="100"/>
      <c r="U81" s="104" t="s">
        <v>116</v>
      </c>
      <c r="V81" s="2" t="s">
        <v>113</v>
      </c>
      <c r="W81" s="2" t="s">
        <v>792</v>
      </c>
      <c r="Y81" s="103" t="s">
        <v>291</v>
      </c>
      <c r="Z81" s="2" t="s">
        <v>790</v>
      </c>
      <c r="AA81" s="2" t="s">
        <v>793</v>
      </c>
    </row>
    <row r="82" spans="1:27">
      <c r="A82">
        <v>216</v>
      </c>
      <c r="B82">
        <f t="shared" si="5"/>
        <v>30</v>
      </c>
      <c r="C82">
        <f t="shared" si="7"/>
        <v>6</v>
      </c>
      <c r="D82" t="str">
        <f t="shared" si="6"/>
        <v>30+6</v>
      </c>
      <c r="F82">
        <f>-2.278843*10^(-6)*A82^4+1.402168*10^(-3)*A82^3-2.008726*10^(-1)*A82^2 +9.284121*A82-4.125956*10^1</f>
        <v>1762.276206410753</v>
      </c>
      <c r="R82" s="100"/>
      <c r="U82" s="105"/>
      <c r="W82" s="2"/>
      <c r="Y82" s="103" t="s">
        <v>290</v>
      </c>
      <c r="Z82" s="2" t="s">
        <v>790</v>
      </c>
      <c r="AA82" s="2" t="s">
        <v>794</v>
      </c>
    </row>
    <row r="83" spans="1:27">
      <c r="A83">
        <v>217</v>
      </c>
      <c r="B83">
        <f t="shared" si="5"/>
        <v>31</v>
      </c>
      <c r="C83">
        <f t="shared" si="7"/>
        <v>0</v>
      </c>
      <c r="D83" t="str">
        <f t="shared" si="6"/>
        <v>31+0</v>
      </c>
      <c r="F83">
        <f>-2.278843*10^(-6)*A83^4+1.402168*10^(-3)*A83^3-2.008726*10^(-1)*A83^2 +9.284121*A83-4.125956*10^1</f>
        <v>1789.2492999305982</v>
      </c>
      <c r="R83" s="100"/>
      <c r="U83" s="102" t="s">
        <v>795</v>
      </c>
      <c r="V83" s="2" t="s">
        <v>795</v>
      </c>
      <c r="W83" s="2" t="s">
        <v>781</v>
      </c>
      <c r="Y83" s="103" t="s">
        <v>287</v>
      </c>
      <c r="Z83" s="2" t="s">
        <v>790</v>
      </c>
      <c r="AA83" s="2" t="s">
        <v>796</v>
      </c>
    </row>
    <row r="84" spans="1:27">
      <c r="A84">
        <v>218</v>
      </c>
      <c r="B84">
        <f t="shared" si="5"/>
        <v>31</v>
      </c>
      <c r="C84">
        <f t="shared" si="7"/>
        <v>1</v>
      </c>
      <c r="D84" t="str">
        <f t="shared" si="6"/>
        <v>31+1</v>
      </c>
      <c r="F84">
        <f>-2.278843*10^(-6)*A84^4+1.402168*10^(-3)*A84^3-2.008726*10^(-1)*A84^2 +9.284121*A84-4.125956*10^1</f>
        <v>1816.3585651724331</v>
      </c>
      <c r="U84" s="103" t="s">
        <v>146</v>
      </c>
      <c r="V84" s="2" t="s">
        <v>795</v>
      </c>
      <c r="W84" s="2" t="s">
        <v>738</v>
      </c>
      <c r="Y84" s="103" t="s">
        <v>288</v>
      </c>
      <c r="Z84" s="2" t="s">
        <v>790</v>
      </c>
      <c r="AA84" s="2" t="s">
        <v>797</v>
      </c>
    </row>
    <row r="85" spans="1:27">
      <c r="A85">
        <v>219</v>
      </c>
      <c r="B85">
        <f t="shared" si="5"/>
        <v>31</v>
      </c>
      <c r="C85">
        <f t="shared" si="7"/>
        <v>2</v>
      </c>
      <c r="D85" t="str">
        <f t="shared" si="6"/>
        <v>31+2</v>
      </c>
      <c r="F85">
        <f>-2.278843*10^(-6)*A85^4+1.402168*10^(-3)*A85^3-2.008726*10^(-1)*A85^2 +9.284121*A85-4.125956*10^1</f>
        <v>1843.6005195837981</v>
      </c>
      <c r="U85" s="103" t="s">
        <v>144</v>
      </c>
      <c r="V85" s="2" t="s">
        <v>795</v>
      </c>
      <c r="W85" s="2" t="s">
        <v>798</v>
      </c>
      <c r="Y85" s="102" t="s">
        <v>799</v>
      </c>
      <c r="Z85" s="2" t="s">
        <v>799</v>
      </c>
      <c r="AA85" s="2" t="s">
        <v>800</v>
      </c>
    </row>
    <row r="86" spans="1:27">
      <c r="A86">
        <v>220</v>
      </c>
      <c r="B86">
        <f t="shared" si="5"/>
        <v>31</v>
      </c>
      <c r="C86">
        <f t="shared" si="7"/>
        <v>3</v>
      </c>
      <c r="D86" t="str">
        <f t="shared" si="6"/>
        <v>31+3</v>
      </c>
      <c r="F86">
        <f>-2.278843*10^(-6)*A86^4+1.402168*10^(-3)*A86^3-2.008726*10^(-1)*A86^2 +9.284121*A86-4.125956*10^1</f>
        <v>1870.9716259200018</v>
      </c>
      <c r="U86" s="103" t="s">
        <v>145</v>
      </c>
      <c r="V86" s="2" t="s">
        <v>795</v>
      </c>
      <c r="W86" s="2" t="s">
        <v>801</v>
      </c>
      <c r="Y86" s="103" t="s">
        <v>268</v>
      </c>
      <c r="Z86" s="2" t="s">
        <v>799</v>
      </c>
      <c r="AA86" s="2" t="s">
        <v>800</v>
      </c>
    </row>
    <row r="87" spans="1:27">
      <c r="A87">
        <v>221</v>
      </c>
      <c r="B87">
        <f t="shared" si="5"/>
        <v>31</v>
      </c>
      <c r="C87">
        <f t="shared" si="7"/>
        <v>4</v>
      </c>
      <c r="D87" t="str">
        <f t="shared" si="6"/>
        <v>31+4</v>
      </c>
      <c r="F87">
        <f>-2.278843*10^(-6)*A87^4+1.402168*10^(-3)*A87^3-2.008726*10^(-1)*A87^2 +9.284121*A87-4.125956*10^1</f>
        <v>1898.4682922441207</v>
      </c>
      <c r="U87" s="102" t="s">
        <v>41</v>
      </c>
      <c r="V87" s="2" t="s">
        <v>41</v>
      </c>
      <c r="W87" s="2" t="s">
        <v>802</v>
      </c>
      <c r="Y87" s="102" t="s">
        <v>803</v>
      </c>
      <c r="Z87" s="2" t="s">
        <v>803</v>
      </c>
      <c r="AA87" s="2" t="s">
        <v>804</v>
      </c>
    </row>
    <row r="88" spans="1:27">
      <c r="A88">
        <v>222</v>
      </c>
      <c r="B88">
        <f t="shared" si="5"/>
        <v>31</v>
      </c>
      <c r="C88">
        <f t="shared" si="7"/>
        <v>5</v>
      </c>
      <c r="D88" t="str">
        <f t="shared" si="6"/>
        <v>31+5</v>
      </c>
      <c r="F88">
        <f>-2.278843*10^(-6)*A88^4+1.402168*10^(-3)*A88^3-2.008726*10^(-1)*A88^2 +9.284121*A88-4.125956*10^1</f>
        <v>1926.0868719269938</v>
      </c>
      <c r="U88" s="103" t="s">
        <v>44</v>
      </c>
      <c r="V88" s="2" t="s">
        <v>41</v>
      </c>
      <c r="W88" s="2" t="s">
        <v>805</v>
      </c>
      <c r="Y88" s="103" t="s">
        <v>269</v>
      </c>
      <c r="Z88" s="2" t="s">
        <v>803</v>
      </c>
      <c r="AA88" s="2" t="s">
        <v>804</v>
      </c>
    </row>
    <row r="89" spans="1:27">
      <c r="A89">
        <v>223</v>
      </c>
      <c r="B89">
        <f t="shared" si="5"/>
        <v>31</v>
      </c>
      <c r="C89">
        <f t="shared" si="7"/>
        <v>6</v>
      </c>
      <c r="D89" t="str">
        <f t="shared" si="6"/>
        <v>31+6</v>
      </c>
      <c r="F89">
        <f>-2.278843*10^(-6)*A89^4+1.402168*10^(-3)*A89^3-2.008726*10^(-1)*A89^2 +9.284121*A89-4.125956*10^1</f>
        <v>1953.8236636472379</v>
      </c>
      <c r="U89" s="103" t="s">
        <v>42</v>
      </c>
      <c r="V89" s="2" t="s">
        <v>41</v>
      </c>
      <c r="W89" s="2" t="s">
        <v>806</v>
      </c>
      <c r="Y89" s="102" t="s">
        <v>807</v>
      </c>
      <c r="Z89" s="2" t="s">
        <v>807</v>
      </c>
      <c r="AA89" s="2" t="s">
        <v>808</v>
      </c>
    </row>
    <row r="90" spans="1:27">
      <c r="A90">
        <v>224</v>
      </c>
      <c r="B90">
        <f t="shared" si="5"/>
        <v>32</v>
      </c>
      <c r="C90">
        <f t="shared" si="7"/>
        <v>0</v>
      </c>
      <c r="D90" t="str">
        <f t="shared" si="6"/>
        <v>32+0</v>
      </c>
      <c r="F90">
        <f>-2.278843*10^(-6)*A90^4+1.402168*10^(-3)*A90^3-2.008726*10^(-1)*A90^2 +9.284121*A90-4.125956*10^1</f>
        <v>1981.6749113912319</v>
      </c>
      <c r="U90" s="103" t="s">
        <v>45</v>
      </c>
      <c r="V90" s="2" t="s">
        <v>41</v>
      </c>
      <c r="W90" s="2" t="s">
        <v>809</v>
      </c>
      <c r="Y90" s="103" t="s">
        <v>221</v>
      </c>
      <c r="Z90" s="2" t="s">
        <v>807</v>
      </c>
      <c r="AA90" s="2" t="s">
        <v>810</v>
      </c>
    </row>
    <row r="91" spans="1:27">
      <c r="A91">
        <v>225</v>
      </c>
      <c r="B91">
        <f t="shared" si="5"/>
        <v>32</v>
      </c>
      <c r="C91">
        <f t="shared" si="7"/>
        <v>1</v>
      </c>
      <c r="D91" t="str">
        <f t="shared" si="6"/>
        <v>32+1</v>
      </c>
      <c r="F91">
        <f>-2.278843*10^(-6)*A91^4+1.402168*10^(-3)*A91^3-2.008726*10^(-1)*A91^2 +9.284121*A91-4.125956*10^1</f>
        <v>2009.6368044531259</v>
      </c>
      <c r="U91" s="102" t="s">
        <v>811</v>
      </c>
      <c r="V91" s="2" t="s">
        <v>811</v>
      </c>
      <c r="W91" s="2" t="s">
        <v>812</v>
      </c>
      <c r="Y91" s="103" t="s">
        <v>224</v>
      </c>
      <c r="Z91" s="2" t="s">
        <v>807</v>
      </c>
      <c r="AA91" s="2" t="s">
        <v>813</v>
      </c>
    </row>
    <row r="92" spans="1:27">
      <c r="A92">
        <v>226</v>
      </c>
      <c r="B92">
        <f t="shared" si="5"/>
        <v>32</v>
      </c>
      <c r="C92">
        <f t="shared" si="7"/>
        <v>2</v>
      </c>
      <c r="D92" t="str">
        <f t="shared" si="6"/>
        <v>32+2</v>
      </c>
      <c r="F92">
        <f>-2.278843*10^(-6)*A92^4+1.402168*10^(-3)*A92^3-2.008726*10^(-1)*A92^2 +9.284121*A92-4.125956*10^1</f>
        <v>2037.7054774348348</v>
      </c>
      <c r="U92" s="103" t="s">
        <v>77</v>
      </c>
      <c r="V92" s="2" t="s">
        <v>811</v>
      </c>
      <c r="W92" s="2" t="s">
        <v>812</v>
      </c>
      <c r="Y92" s="103" t="s">
        <v>227</v>
      </c>
      <c r="Z92" s="2" t="s">
        <v>807</v>
      </c>
      <c r="AA92" s="2" t="s">
        <v>814</v>
      </c>
    </row>
    <row r="93" spans="1:27">
      <c r="A93">
        <v>227</v>
      </c>
      <c r="B93">
        <f t="shared" si="5"/>
        <v>32</v>
      </c>
      <c r="C93">
        <f t="shared" si="7"/>
        <v>3</v>
      </c>
      <c r="D93" t="str">
        <f t="shared" si="6"/>
        <v>32+3</v>
      </c>
      <c r="F93">
        <f>-2.278843*10^(-6)*A93^4+1.402168*10^(-3)*A93^3-2.008726*10^(-1)*A93^2 +9.284121*A93-4.125956*10^1</f>
        <v>2065.8770102460385</v>
      </c>
      <c r="U93" s="102" t="s">
        <v>750</v>
      </c>
      <c r="W93" s="2" t="s">
        <v>815</v>
      </c>
      <c r="Y93" s="102" t="s">
        <v>270</v>
      </c>
      <c r="Z93" s="2" t="s">
        <v>270</v>
      </c>
      <c r="AA93" s="2" t="s">
        <v>816</v>
      </c>
    </row>
    <row r="94" spans="1:27">
      <c r="A94">
        <v>228</v>
      </c>
      <c r="B94">
        <f t="shared" si="5"/>
        <v>32</v>
      </c>
      <c r="C94">
        <f t="shared" si="7"/>
        <v>4</v>
      </c>
      <c r="D94" t="str">
        <f t="shared" si="6"/>
        <v>32+4</v>
      </c>
      <c r="F94">
        <f>-2.278843*10^(-6)*A94^4+1.402168*10^(-3)*A94^3-2.008726*10^(-1)*A94^2 +9.284121*A94-4.125956*10^1</f>
        <v>2094.1474281041915</v>
      </c>
      <c r="U94" s="103" t="s">
        <v>432</v>
      </c>
      <c r="V94" s="2" t="s">
        <v>750</v>
      </c>
      <c r="W94" s="118" t="s">
        <v>817</v>
      </c>
      <c r="Y94" s="103" t="s">
        <v>274</v>
      </c>
      <c r="Z94" s="2" t="s">
        <v>270</v>
      </c>
      <c r="AA94" s="2" t="s">
        <v>818</v>
      </c>
    </row>
    <row r="95" spans="1:27" ht="27">
      <c r="A95">
        <v>229</v>
      </c>
      <c r="B95">
        <f t="shared" si="5"/>
        <v>32</v>
      </c>
      <c r="C95">
        <f t="shared" si="7"/>
        <v>5</v>
      </c>
      <c r="D95" t="str">
        <f t="shared" si="6"/>
        <v>32+5</v>
      </c>
      <c r="F95">
        <f>-2.278843*10^(-6)*A95^4+1.402168*10^(-3)*A95^3-2.008726*10^(-1)*A95^2 +9.284121*A95-4.125956*10^1</f>
        <v>2122.5127015345192</v>
      </c>
      <c r="U95" s="103" t="s">
        <v>150</v>
      </c>
      <c r="W95" s="2" t="s">
        <v>815</v>
      </c>
      <c r="Y95" s="103" t="s">
        <v>277</v>
      </c>
      <c r="Z95" s="2" t="s">
        <v>270</v>
      </c>
      <c r="AA95" s="2" t="s">
        <v>738</v>
      </c>
    </row>
    <row r="96" spans="1:27">
      <c r="A96">
        <v>230</v>
      </c>
      <c r="B96">
        <f t="shared" si="5"/>
        <v>32</v>
      </c>
      <c r="C96">
        <f t="shared" si="7"/>
        <v>6</v>
      </c>
      <c r="D96" t="str">
        <f t="shared" si="6"/>
        <v>32+6</v>
      </c>
      <c r="F96">
        <f>-2.278843*10^(-6)*A96^4+1.402168*10^(-3)*A96^3-2.008726*10^(-1)*A96^2 +9.284121*A96-4.125956*10^1</f>
        <v>2150.9687463700011</v>
      </c>
      <c r="U96" s="102" t="s">
        <v>73</v>
      </c>
      <c r="V96" s="2" t="s">
        <v>73</v>
      </c>
      <c r="W96" s="2" t="s">
        <v>819</v>
      </c>
      <c r="Y96" s="103" t="s">
        <v>271</v>
      </c>
      <c r="Z96" s="2" t="s">
        <v>270</v>
      </c>
      <c r="AA96" s="2" t="s">
        <v>734</v>
      </c>
    </row>
    <row r="97" spans="1:27">
      <c r="A97">
        <v>231</v>
      </c>
      <c r="B97">
        <f t="shared" si="5"/>
        <v>33</v>
      </c>
      <c r="C97">
        <f t="shared" si="7"/>
        <v>0</v>
      </c>
      <c r="D97" t="str">
        <f t="shared" si="6"/>
        <v>33+0</v>
      </c>
      <c r="F97">
        <f>-2.278843*10^(-6)*A97^4+1.402168*10^(-3)*A97^3-2.008726*10^(-1)*A97^2 +9.284121*A97-4.125956*10^1</f>
        <v>2179.5114237513967</v>
      </c>
      <c r="U97" s="103" t="s">
        <v>73</v>
      </c>
      <c r="V97" s="2" t="s">
        <v>73</v>
      </c>
      <c r="W97" s="2" t="s">
        <v>819</v>
      </c>
      <c r="Y97" s="103" t="s">
        <v>275</v>
      </c>
      <c r="Z97" s="2" t="s">
        <v>270</v>
      </c>
      <c r="AA97" s="2" t="s">
        <v>820</v>
      </c>
    </row>
    <row r="98" spans="1:27" ht="43.5">
      <c r="A98">
        <v>232</v>
      </c>
      <c r="B98">
        <f t="shared" si="5"/>
        <v>33</v>
      </c>
      <c r="C98">
        <f t="shared" si="7"/>
        <v>1</v>
      </c>
      <c r="D98" t="str">
        <f t="shared" si="6"/>
        <v>33+1</v>
      </c>
      <c r="F98">
        <f>-2.278843*10^(-6)*A98^4+1.402168*10^(-3)*A98^3-2.008726*10^(-1)*A98^2 +9.284121*A98-4.125956*10^1</f>
        <v>2208.1365401272346</v>
      </c>
      <c r="U98" s="102" t="s">
        <v>821</v>
      </c>
      <c r="V98" s="2" t="s">
        <v>821</v>
      </c>
      <c r="W98" s="2" t="s">
        <v>822</v>
      </c>
      <c r="Y98" s="103" t="s">
        <v>276</v>
      </c>
      <c r="Z98" s="2" t="s">
        <v>270</v>
      </c>
      <c r="AA98" s="2" t="s">
        <v>823</v>
      </c>
    </row>
    <row r="99" spans="1:27" ht="43.5">
      <c r="A99">
        <v>233</v>
      </c>
      <c r="B99">
        <f t="shared" si="5"/>
        <v>33</v>
      </c>
      <c r="C99">
        <f t="shared" si="7"/>
        <v>2</v>
      </c>
      <c r="D99" t="str">
        <f t="shared" si="6"/>
        <v>33+2</v>
      </c>
      <c r="F99">
        <f>-2.278843*10^(-6)*A99^4+1.402168*10^(-3)*A99^3-2.008726*10^(-1)*A99^2 +9.284121*A99-4.125956*10^1</f>
        <v>2236.8398472537992</v>
      </c>
      <c r="U99" s="103" t="s">
        <v>124</v>
      </c>
      <c r="V99" s="2" t="s">
        <v>821</v>
      </c>
      <c r="W99" s="2" t="s">
        <v>824</v>
      </c>
      <c r="Y99" s="103" t="s">
        <v>825</v>
      </c>
      <c r="Z99" s="2" t="s">
        <v>270</v>
      </c>
      <c r="AA99" s="2" t="s">
        <v>826</v>
      </c>
    </row>
    <row r="100" spans="1:27" ht="29.25">
      <c r="A100">
        <v>234</v>
      </c>
      <c r="B100">
        <f t="shared" si="5"/>
        <v>33</v>
      </c>
      <c r="C100">
        <f t="shared" si="7"/>
        <v>3</v>
      </c>
      <c r="D100" t="str">
        <f t="shared" si="6"/>
        <v>33+3</v>
      </c>
      <c r="F100">
        <f>-2.278843*10^(-6)*A100^4+1.402168*10^(-3)*A100^3-2.008726*10^(-1)*A100^2 +9.284121*A100-4.125956*10^1</f>
        <v>2265.6170421951551</v>
      </c>
      <c r="U100" s="102" t="s">
        <v>827</v>
      </c>
      <c r="V100" s="2" t="s">
        <v>827</v>
      </c>
      <c r="W100" s="2" t="s">
        <v>828</v>
      </c>
      <c r="Y100" s="103" t="s">
        <v>272</v>
      </c>
      <c r="Z100" s="2" t="s">
        <v>270</v>
      </c>
      <c r="AA100" s="2" t="s">
        <v>829</v>
      </c>
    </row>
    <row r="101" spans="1:27" ht="29.25">
      <c r="A101">
        <v>235</v>
      </c>
      <c r="B101">
        <f t="shared" si="5"/>
        <v>33</v>
      </c>
      <c r="C101">
        <f t="shared" si="7"/>
        <v>4</v>
      </c>
      <c r="D101" t="str">
        <f t="shared" si="6"/>
        <v>33+4</v>
      </c>
      <c r="F101">
        <f>-2.278843*10^(-6)*A101^4+1.402168*10^(-3)*A101^3-2.008726*10^(-1)*A101^2 +9.284121*A101-4.125956*10^1</f>
        <v>2294.4637673231268</v>
      </c>
      <c r="U101" s="103" t="s">
        <v>122</v>
      </c>
      <c r="V101" s="2" t="s">
        <v>827</v>
      </c>
      <c r="W101" s="2" t="s">
        <v>830</v>
      </c>
      <c r="Y101" s="102" t="s">
        <v>831</v>
      </c>
      <c r="Z101" s="2" t="s">
        <v>750</v>
      </c>
      <c r="AA101" s="2"/>
    </row>
    <row r="102" spans="1:27" ht="29.25">
      <c r="A102">
        <v>236</v>
      </c>
      <c r="B102">
        <f t="shared" si="5"/>
        <v>33</v>
      </c>
      <c r="C102">
        <f t="shared" si="7"/>
        <v>5</v>
      </c>
      <c r="D102" t="str">
        <f t="shared" si="6"/>
        <v>33+5</v>
      </c>
      <c r="F102">
        <f>-2.278843*10^(-6)*A102^4+1.402168*10^(-3)*A102^3-2.008726*10^(-1)*A102^2 +9.284121*A102-4.125956*10^1</f>
        <v>2323.3756103173127</v>
      </c>
      <c r="U102" s="103" t="s">
        <v>123</v>
      </c>
      <c r="V102" s="2" t="s">
        <v>827</v>
      </c>
      <c r="W102" s="2" t="s">
        <v>832</v>
      </c>
      <c r="Y102" s="102" t="s">
        <v>281</v>
      </c>
      <c r="Z102" s="2" t="s">
        <v>281</v>
      </c>
      <c r="AA102" s="2" t="s">
        <v>833</v>
      </c>
    </row>
    <row r="103" spans="1:27">
      <c r="A103">
        <v>237</v>
      </c>
      <c r="B103">
        <f t="shared" si="5"/>
        <v>33</v>
      </c>
      <c r="C103">
        <f t="shared" si="7"/>
        <v>6</v>
      </c>
      <c r="D103" t="str">
        <f t="shared" si="6"/>
        <v>33+6</v>
      </c>
      <c r="F103">
        <f>-2.278843*10^(-6)*A103^4+1.402168*10^(-3)*A103^3-2.008726*10^(-1)*A103^2 +9.284121*A103-4.125956*10^1</f>
        <v>2352.3481041650789</v>
      </c>
      <c r="U103" s="102" t="s">
        <v>834</v>
      </c>
      <c r="V103" s="2" t="s">
        <v>834</v>
      </c>
      <c r="W103" s="2" t="s">
        <v>835</v>
      </c>
      <c r="Y103" s="102" t="s">
        <v>302</v>
      </c>
      <c r="Z103" s="2" t="s">
        <v>302</v>
      </c>
      <c r="AA103" s="2" t="s">
        <v>836</v>
      </c>
    </row>
    <row r="104" spans="1:27">
      <c r="A104">
        <v>238</v>
      </c>
      <c r="B104">
        <f t="shared" si="5"/>
        <v>34</v>
      </c>
      <c r="C104">
        <f t="shared" si="7"/>
        <v>0</v>
      </c>
      <c r="D104" t="str">
        <f t="shared" si="6"/>
        <v>34+0</v>
      </c>
      <c r="F104">
        <f>-2.278843*10^(-6)*A104^4+1.402168*10^(-3)*A104^3-2.008726*10^(-1)*A104^2 +9.284121*A104-4.125956*10^1</f>
        <v>2381.3767271615552</v>
      </c>
      <c r="U104" s="103" t="s">
        <v>54</v>
      </c>
      <c r="V104" s="2" t="s">
        <v>834</v>
      </c>
      <c r="W104" s="2" t="s">
        <v>837</v>
      </c>
      <c r="Y104" s="103" t="s">
        <v>838</v>
      </c>
      <c r="Z104" s="2" t="s">
        <v>302</v>
      </c>
      <c r="AA104" s="2" t="s">
        <v>836</v>
      </c>
    </row>
    <row r="105" spans="1:27">
      <c r="A105">
        <v>239</v>
      </c>
      <c r="B105">
        <f t="shared" si="5"/>
        <v>34</v>
      </c>
      <c r="C105">
        <f t="shared" si="7"/>
        <v>1</v>
      </c>
      <c r="D105" t="str">
        <f t="shared" si="6"/>
        <v>34+1</v>
      </c>
      <c r="F105">
        <f>-2.278843*10^(-6)*A105^4+1.402168*10^(-3)*A105^3-2.008726*10^(-1)*A105^2 +9.284121*A105-4.125956*10^1</f>
        <v>2410.4569029096383</v>
      </c>
      <c r="U105" s="103" t="s">
        <v>53</v>
      </c>
      <c r="V105" s="2" t="s">
        <v>834</v>
      </c>
      <c r="W105" s="2" t="s">
        <v>839</v>
      </c>
      <c r="Y105" s="102" t="s">
        <v>840</v>
      </c>
      <c r="Z105" s="2" t="s">
        <v>840</v>
      </c>
      <c r="AA105" s="2" t="s">
        <v>841</v>
      </c>
    </row>
    <row r="106" spans="1:27">
      <c r="A106">
        <v>240</v>
      </c>
      <c r="B106">
        <f t="shared" ref="B106:B162" si="10">FLOOR(A106/7,1)</f>
        <v>34</v>
      </c>
      <c r="C106">
        <f t="shared" si="7"/>
        <v>2</v>
      </c>
      <c r="D106" t="str">
        <f t="shared" ref="D106:D162" si="11">CONCATENATE(B106,"+",C106)</f>
        <v>34+2</v>
      </c>
      <c r="F106">
        <f>-2.278843*10^(-6)*A106^4+1.402168*10^(-3)*A106^3-2.008726*10^(-1)*A106^2 +9.284121*A106-4.125956*10^1</f>
        <v>2439.5840003200005</v>
      </c>
      <c r="U106" s="102" t="s">
        <v>842</v>
      </c>
      <c r="V106" s="2" t="s">
        <v>842</v>
      </c>
      <c r="W106" s="2" t="s">
        <v>843</v>
      </c>
      <c r="Y106" s="103" t="s">
        <v>840</v>
      </c>
      <c r="Z106" s="2" t="s">
        <v>840</v>
      </c>
      <c r="AA106" s="2" t="s">
        <v>841</v>
      </c>
    </row>
    <row r="107" spans="1:27" ht="57.75">
      <c r="A107">
        <v>241</v>
      </c>
      <c r="B107">
        <f t="shared" si="10"/>
        <v>34</v>
      </c>
      <c r="C107">
        <f t="shared" ref="C107:C162" si="12">A107-B107*7</f>
        <v>3</v>
      </c>
      <c r="D107" t="str">
        <f t="shared" si="11"/>
        <v>34+3</v>
      </c>
      <c r="F107">
        <f>-2.278843*10^(-6)*A107^4+1.402168*10^(-3)*A107^3-2.008726*10^(-1)*A107^2 +9.284121*A107-4.125956*10^1</f>
        <v>2468.7533336110782</v>
      </c>
      <c r="U107" s="103" t="s">
        <v>128</v>
      </c>
      <c r="V107" s="2" t="s">
        <v>842</v>
      </c>
      <c r="W107" s="2" t="s">
        <v>843</v>
      </c>
      <c r="Y107" s="102" t="s">
        <v>262</v>
      </c>
      <c r="Z107" s="2" t="s">
        <v>262</v>
      </c>
      <c r="AA107" s="2" t="s">
        <v>844</v>
      </c>
    </row>
    <row r="108" spans="1:27" ht="57.75">
      <c r="A108">
        <v>242</v>
      </c>
      <c r="B108">
        <f t="shared" si="10"/>
        <v>34</v>
      </c>
      <c r="C108">
        <f t="shared" si="12"/>
        <v>4</v>
      </c>
      <c r="D108" t="str">
        <f t="shared" si="11"/>
        <v>34+4</v>
      </c>
      <c r="F108">
        <f>-2.278843*10^(-6)*A108^4+1.402168*10^(-3)*A108^3-2.008726*10^(-1)*A108^2 +9.284121*A108-4.125956*10^1</f>
        <v>2497.960162309073</v>
      </c>
      <c r="U108" s="106" t="s">
        <v>159</v>
      </c>
      <c r="V108" s="2" t="s">
        <v>159</v>
      </c>
      <c r="W108" s="2" t="s">
        <v>771</v>
      </c>
      <c r="Y108" s="103" t="s">
        <v>263</v>
      </c>
      <c r="Z108" s="2" t="s">
        <v>262</v>
      </c>
      <c r="AA108" s="2" t="s">
        <v>845</v>
      </c>
    </row>
    <row r="109" spans="1:27">
      <c r="A109">
        <v>243</v>
      </c>
      <c r="B109">
        <f t="shared" si="10"/>
        <v>34</v>
      </c>
      <c r="C109">
        <f t="shared" si="12"/>
        <v>5</v>
      </c>
      <c r="D109" t="str">
        <f t="shared" si="11"/>
        <v>34+5</v>
      </c>
      <c r="F109">
        <f>-2.278843*10^(-6)*A109^4+1.402168*10^(-3)*A109^3-2.008726*10^(-1)*A109^2 +9.284121*A109-4.125956*10^1</f>
        <v>2527.1996912479603</v>
      </c>
      <c r="U109" s="107"/>
      <c r="W109" s="2"/>
      <c r="Y109" s="102" t="s">
        <v>294</v>
      </c>
      <c r="Z109" s="2" t="s">
        <v>294</v>
      </c>
      <c r="AA109" s="2" t="s">
        <v>846</v>
      </c>
    </row>
    <row r="110" spans="1:27" ht="29.25">
      <c r="A110">
        <v>244</v>
      </c>
      <c r="B110">
        <f t="shared" si="10"/>
        <v>34</v>
      </c>
      <c r="C110">
        <f t="shared" si="12"/>
        <v>6</v>
      </c>
      <c r="D110" t="str">
        <f t="shared" si="11"/>
        <v>34+6</v>
      </c>
      <c r="F110">
        <f>-2.278843*10^(-6)*A110^4+1.402168*10^(-3)*A110^3-2.008726*10^(-1)*A110^2 +9.284121*A110-4.125956*10^1</f>
        <v>2556.4670705694743</v>
      </c>
      <c r="U110" s="104" t="s">
        <v>159</v>
      </c>
      <c r="V110" s="2" t="s">
        <v>159</v>
      </c>
      <c r="W110" s="2" t="s">
        <v>771</v>
      </c>
      <c r="Y110" s="103" t="s">
        <v>296</v>
      </c>
      <c r="Z110" s="2" t="s">
        <v>294</v>
      </c>
      <c r="AA110" s="2" t="s">
        <v>847</v>
      </c>
    </row>
    <row r="111" spans="1:27" ht="27">
      <c r="A111">
        <v>245</v>
      </c>
      <c r="B111">
        <f t="shared" si="10"/>
        <v>35</v>
      </c>
      <c r="C111">
        <f t="shared" si="12"/>
        <v>0</v>
      </c>
      <c r="D111" t="str">
        <f t="shared" si="11"/>
        <v>35+0</v>
      </c>
      <c r="F111">
        <f>-2.278843*10^(-6)*A111^4+1.402168*10^(-3)*A111^3-2.008726*10^(-1)*A111^2 +9.284121*A111-4.125956*10^1</f>
        <v>2585.7573957231252</v>
      </c>
      <c r="U111" s="105"/>
      <c r="W111" s="2"/>
      <c r="Y111" s="104" t="s">
        <v>298</v>
      </c>
      <c r="Z111" s="2" t="s">
        <v>294</v>
      </c>
      <c r="AA111" s="2" t="s">
        <v>848</v>
      </c>
    </row>
    <row r="112" spans="1:27">
      <c r="A112">
        <v>246</v>
      </c>
      <c r="B112">
        <f t="shared" si="10"/>
        <v>35</v>
      </c>
      <c r="C112">
        <f t="shared" si="12"/>
        <v>1</v>
      </c>
      <c r="D112" t="str">
        <f t="shared" si="11"/>
        <v>35+1</v>
      </c>
      <c r="F112">
        <f>-2.278843*10^(-6)*A112^4+1.402168*10^(-3)*A112^3-2.008726*10^(-1)*A112^2 +9.284121*A112-4.125956*10^1</f>
        <v>2615.0657074661917</v>
      </c>
      <c r="U112" s="102" t="s">
        <v>849</v>
      </c>
      <c r="V112" s="2" t="s">
        <v>750</v>
      </c>
      <c r="W112" s="2"/>
      <c r="Y112" s="105"/>
      <c r="Z112" s="2" t="s">
        <v>294</v>
      </c>
      <c r="AA112" s="2"/>
    </row>
    <row r="113" spans="1:27" ht="27">
      <c r="A113">
        <v>247</v>
      </c>
      <c r="B113">
        <f t="shared" si="10"/>
        <v>35</v>
      </c>
      <c r="C113">
        <f t="shared" si="12"/>
        <v>2</v>
      </c>
      <c r="D113" t="str">
        <f t="shared" si="11"/>
        <v>35+2</v>
      </c>
      <c r="F113">
        <f>-2.278843*10^(-6)*A113^4+1.402168*10^(-3)*A113^3-2.008726*10^(-1)*A113^2 +9.284121*A113-4.125956*10^1</f>
        <v>2644.3869918637183</v>
      </c>
      <c r="U113" s="103"/>
      <c r="V113" s="2" t="s">
        <v>750</v>
      </c>
      <c r="W113" s="2"/>
      <c r="Y113" s="103" t="s">
        <v>301</v>
      </c>
      <c r="Z113" s="2" t="s">
        <v>294</v>
      </c>
      <c r="AA113" s="2" t="s">
        <v>850</v>
      </c>
    </row>
    <row r="114" spans="1:27">
      <c r="A114">
        <v>248</v>
      </c>
      <c r="B114">
        <f t="shared" si="10"/>
        <v>35</v>
      </c>
      <c r="C114">
        <f t="shared" si="12"/>
        <v>3</v>
      </c>
      <c r="D114" t="str">
        <f t="shared" si="11"/>
        <v>35+3</v>
      </c>
      <c r="F114">
        <f>-2.278843*10^(-6)*A114^4+1.402168*10^(-3)*A114^3-2.008726*10^(-1)*A114^2 +9.284121*A114-4.125956*10^1</f>
        <v>2673.716180288513</v>
      </c>
      <c r="U114" s="102" t="s">
        <v>851</v>
      </c>
      <c r="V114" s="2" t="s">
        <v>851</v>
      </c>
      <c r="W114" s="2" t="s">
        <v>852</v>
      </c>
      <c r="Y114" s="103" t="s">
        <v>300</v>
      </c>
      <c r="Z114" s="2" t="s">
        <v>294</v>
      </c>
      <c r="AA114" s="2" t="s">
        <v>853</v>
      </c>
    </row>
    <row r="115" spans="1:27" ht="40.5">
      <c r="A115">
        <v>249</v>
      </c>
      <c r="B115">
        <f t="shared" si="10"/>
        <v>35</v>
      </c>
      <c r="C115">
        <f t="shared" si="12"/>
        <v>4</v>
      </c>
      <c r="D115" t="str">
        <f t="shared" si="11"/>
        <v>35+4</v>
      </c>
      <c r="F115">
        <f>-2.278843*10^(-6)*A115^4+1.402168*10^(-3)*A115^3-2.008726*10^(-1)*A115^2 +9.284121*A115-4.125956*10^1</f>
        <v>2703.0481494211558</v>
      </c>
      <c r="U115" s="103" t="s">
        <v>854</v>
      </c>
      <c r="V115" s="2" t="s">
        <v>851</v>
      </c>
      <c r="W115" s="2" t="s">
        <v>839</v>
      </c>
      <c r="Y115" s="104" t="s">
        <v>855</v>
      </c>
      <c r="Z115" s="2" t="s">
        <v>294</v>
      </c>
      <c r="AA115" s="2" t="s">
        <v>856</v>
      </c>
    </row>
    <row r="116" spans="1:27">
      <c r="A116">
        <v>250</v>
      </c>
      <c r="B116">
        <f t="shared" si="10"/>
        <v>35</v>
      </c>
      <c r="C116">
        <f t="shared" si="12"/>
        <v>5</v>
      </c>
      <c r="D116" t="str">
        <f t="shared" si="11"/>
        <v>35+5</v>
      </c>
      <c r="F116">
        <f>-2.278843*10^(-6)*A116^4+1.402168*10^(-3)*A116^3-2.008726*10^(-1)*A116^2 +9.284121*A116-4.125956*10^1</f>
        <v>2732.3777212500017</v>
      </c>
      <c r="U116" s="103" t="s">
        <v>52</v>
      </c>
      <c r="V116" s="2" t="s">
        <v>851</v>
      </c>
      <c r="W116" s="2" t="s">
        <v>857</v>
      </c>
      <c r="Y116" s="111" t="s">
        <v>750</v>
      </c>
      <c r="Z116" s="2" t="s">
        <v>294</v>
      </c>
      <c r="AA116" s="2"/>
    </row>
    <row r="117" spans="1:27" ht="27">
      <c r="A117">
        <v>251</v>
      </c>
      <c r="B117">
        <f t="shared" si="10"/>
        <v>35</v>
      </c>
      <c r="C117">
        <f t="shared" si="12"/>
        <v>6</v>
      </c>
      <c r="D117" t="str">
        <f t="shared" si="11"/>
        <v>35+6</v>
      </c>
      <c r="F117">
        <f>-2.278843*10^(-6)*A117^4+1.402168*10^(-3)*A117^3-2.008726*10^(-1)*A117^2 +9.284121*A117-4.125956*10^1</f>
        <v>2761.6996630711587</v>
      </c>
      <c r="U117" s="102" t="s">
        <v>131</v>
      </c>
      <c r="V117" s="2" t="s">
        <v>131</v>
      </c>
      <c r="W117" s="2" t="s">
        <v>858</v>
      </c>
      <c r="Y117" s="104" t="s">
        <v>299</v>
      </c>
      <c r="Z117" s="2" t="s">
        <v>294</v>
      </c>
      <c r="AA117" s="2" t="s">
        <v>859</v>
      </c>
    </row>
    <row r="118" spans="1:27">
      <c r="A118">
        <v>252</v>
      </c>
      <c r="B118">
        <f t="shared" si="10"/>
        <v>36</v>
      </c>
      <c r="C118">
        <f t="shared" si="12"/>
        <v>0</v>
      </c>
      <c r="D118" t="str">
        <f t="shared" si="11"/>
        <v>36+0</v>
      </c>
      <c r="F118">
        <f>-2.278843*10^(-6)*A118^4+1.402168*10^(-3)*A118^3-2.008726*10^(-1)*A118^2 +9.284121*A118-4.125956*10^1</f>
        <v>2791.008687488516</v>
      </c>
      <c r="U118" s="103" t="s">
        <v>131</v>
      </c>
      <c r="V118" s="2" t="s">
        <v>131</v>
      </c>
      <c r="W118" s="2" t="s">
        <v>858</v>
      </c>
      <c r="Y118" s="105"/>
      <c r="Z118" s="2" t="s">
        <v>294</v>
      </c>
      <c r="AA118" s="2"/>
    </row>
    <row r="119" spans="1:27">
      <c r="A119">
        <v>253</v>
      </c>
      <c r="B119">
        <f t="shared" si="10"/>
        <v>36</v>
      </c>
      <c r="C119">
        <f t="shared" si="12"/>
        <v>1</v>
      </c>
      <c r="D119" t="str">
        <f t="shared" si="11"/>
        <v>36+1</v>
      </c>
      <c r="F119">
        <f>-2.278843*10^(-6)*A119^4+1.402168*10^(-3)*A119^3-2.008726*10^(-1)*A119^2 +9.284121*A119-4.125956*10^1</f>
        <v>2820.2994524137184</v>
      </c>
      <c r="U119" s="106" t="s">
        <v>860</v>
      </c>
      <c r="V119" s="2" t="s">
        <v>860</v>
      </c>
      <c r="W119" s="2" t="s">
        <v>861</v>
      </c>
      <c r="Y119" s="104" t="s">
        <v>297</v>
      </c>
      <c r="Z119" s="2" t="s">
        <v>294</v>
      </c>
      <c r="AA119" s="2" t="s">
        <v>859</v>
      </c>
    </row>
    <row r="120" spans="1:27">
      <c r="A120">
        <v>254</v>
      </c>
      <c r="B120">
        <f t="shared" si="10"/>
        <v>36</v>
      </c>
      <c r="C120">
        <f t="shared" si="12"/>
        <v>2</v>
      </c>
      <c r="D120" t="str">
        <f t="shared" si="11"/>
        <v>36+2</v>
      </c>
      <c r="F120">
        <f>-2.278843*10^(-6)*A120^4+1.402168*10^(-3)*A120^3-2.008726*10^(-1)*A120^2 +9.284121*A120-4.125956*10^1</f>
        <v>2849.5665610661949</v>
      </c>
      <c r="U120" s="102" t="s">
        <v>750</v>
      </c>
      <c r="W120" s="2"/>
      <c r="Y120" s="105"/>
      <c r="Z120" s="2" t="s">
        <v>294</v>
      </c>
      <c r="AA120" s="2"/>
    </row>
    <row r="121" spans="1:27" ht="27">
      <c r="A121">
        <v>255</v>
      </c>
      <c r="B121">
        <f t="shared" si="10"/>
        <v>36</v>
      </c>
      <c r="C121">
        <f t="shared" si="12"/>
        <v>3</v>
      </c>
      <c r="D121" t="str">
        <f t="shared" si="11"/>
        <v>36+3</v>
      </c>
      <c r="F121">
        <f>-2.278843*10^(-6)*A121^4+1.402168*10^(-3)*A121^3-2.008726*10^(-1)*A121^2 +9.284121*A121-4.125956*10^1</f>
        <v>2878.8045619731251</v>
      </c>
      <c r="U121" s="103" t="s">
        <v>129</v>
      </c>
      <c r="V121" s="2" t="s">
        <v>860</v>
      </c>
      <c r="W121" s="2" t="s">
        <v>862</v>
      </c>
      <c r="Y121" s="103" t="s">
        <v>295</v>
      </c>
      <c r="Z121" s="2" t="s">
        <v>294</v>
      </c>
      <c r="AA121" s="2" t="s">
        <v>863</v>
      </c>
    </row>
    <row r="122" spans="1:27" ht="27">
      <c r="A122">
        <v>256</v>
      </c>
      <c r="B122">
        <f t="shared" si="10"/>
        <v>36</v>
      </c>
      <c r="C122">
        <f t="shared" si="12"/>
        <v>4</v>
      </c>
      <c r="D122" t="str">
        <f t="shared" si="11"/>
        <v>36+4</v>
      </c>
      <c r="F122">
        <f>-2.278843*10^(-6)*A122^4+1.402168*10^(-3)*A122^3-2.008726*10^(-1)*A122^2 +9.284121*A122-4.125956*10^1</f>
        <v>2908.0079489694735</v>
      </c>
      <c r="U122" s="103" t="s">
        <v>130</v>
      </c>
      <c r="V122" s="2" t="s">
        <v>860</v>
      </c>
      <c r="W122" s="2" t="s">
        <v>864</v>
      </c>
      <c r="Y122" s="102" t="s">
        <v>293</v>
      </c>
      <c r="Z122" s="2" t="s">
        <v>293</v>
      </c>
      <c r="AA122" s="2" t="s">
        <v>865</v>
      </c>
    </row>
    <row r="123" spans="1:27">
      <c r="A123">
        <v>257</v>
      </c>
      <c r="B123">
        <f t="shared" si="10"/>
        <v>36</v>
      </c>
      <c r="C123">
        <f t="shared" si="12"/>
        <v>5</v>
      </c>
      <c r="D123" t="str">
        <f t="shared" si="11"/>
        <v>36+5</v>
      </c>
      <c r="F123">
        <f>-2.278843*10^(-6)*A123^4+1.402168*10^(-3)*A123^3-2.008726*10^(-1)*A123^2 +9.284121*A123-4.125956*10^1</f>
        <v>2937.1711611979576</v>
      </c>
      <c r="U123" s="102" t="s">
        <v>170</v>
      </c>
      <c r="V123" s="2" t="s">
        <v>170</v>
      </c>
      <c r="W123" s="2" t="s">
        <v>866</v>
      </c>
      <c r="Y123" s="102" t="s">
        <v>394</v>
      </c>
      <c r="Z123" s="2" t="s">
        <v>750</v>
      </c>
      <c r="AA123" s="2"/>
    </row>
    <row r="124" spans="1:27">
      <c r="A124">
        <v>258</v>
      </c>
      <c r="B124">
        <f t="shared" si="10"/>
        <v>36</v>
      </c>
      <c r="C124">
        <f t="shared" si="12"/>
        <v>6</v>
      </c>
      <c r="D124" t="str">
        <f t="shared" si="11"/>
        <v>36+6</v>
      </c>
      <c r="F124">
        <f>-2.278843*10^(-6)*A124^4+1.402168*10^(-3)*A124^3-2.008726*10^(-1)*A124^2 +9.284121*A124-4.125956*10^1</f>
        <v>2966.2885831090712</v>
      </c>
      <c r="U124" s="103" t="s">
        <v>171</v>
      </c>
      <c r="V124" s="2" t="s">
        <v>170</v>
      </c>
      <c r="W124" s="2" t="s">
        <v>867</v>
      </c>
      <c r="Y124" s="102"/>
      <c r="Z124" s="2" t="s">
        <v>750</v>
      </c>
      <c r="AA124" s="2"/>
    </row>
    <row r="125" spans="1:27">
      <c r="A125">
        <v>259</v>
      </c>
      <c r="B125">
        <f t="shared" si="10"/>
        <v>37</v>
      </c>
      <c r="C125">
        <f t="shared" si="12"/>
        <v>0</v>
      </c>
      <c r="D125" t="str">
        <f t="shared" si="11"/>
        <v>37+0</v>
      </c>
      <c r="F125">
        <f>-2.278843*10^(-6)*A125^4+1.402168*10^(-3)*A125^3-2.008726*10^(-1)*A125^2 +9.284121*A125-4.125956*10^1</f>
        <v>2995.35454446108</v>
      </c>
      <c r="U125" s="103" t="s">
        <v>172</v>
      </c>
      <c r="V125" s="2" t="s">
        <v>170</v>
      </c>
      <c r="W125" s="2" t="s">
        <v>868</v>
      </c>
      <c r="Y125" s="106" t="s">
        <v>188</v>
      </c>
      <c r="Z125" s="2" t="s">
        <v>188</v>
      </c>
      <c r="AA125" s="2" t="s">
        <v>869</v>
      </c>
    </row>
    <row r="126" spans="1:27" ht="29.25">
      <c r="A126">
        <v>260</v>
      </c>
      <c r="B126">
        <f t="shared" si="10"/>
        <v>37</v>
      </c>
      <c r="C126">
        <f t="shared" si="12"/>
        <v>1</v>
      </c>
      <c r="D126" t="str">
        <f t="shared" si="11"/>
        <v>37+1</v>
      </c>
      <c r="F126">
        <f>-2.278843*10^(-6)*A126^4+1.402168*10^(-3)*A126^3-2.008726*10^(-1)*A126^2 +9.284121*A126-4.125956*10^1</f>
        <v>3024.3633203200029</v>
      </c>
      <c r="U126" s="102" t="s">
        <v>870</v>
      </c>
      <c r="V126" s="2" t="s">
        <v>870</v>
      </c>
      <c r="W126" s="2" t="s">
        <v>871</v>
      </c>
      <c r="Y126" s="102" t="s">
        <v>750</v>
      </c>
      <c r="Z126" s="2" t="s">
        <v>188</v>
      </c>
      <c r="AA126" s="2"/>
    </row>
    <row r="127" spans="1:27" ht="29.25">
      <c r="A127">
        <v>261</v>
      </c>
      <c r="B127">
        <f t="shared" si="10"/>
        <v>37</v>
      </c>
      <c r="C127">
        <f t="shared" si="12"/>
        <v>2</v>
      </c>
      <c r="D127" t="str">
        <f t="shared" si="11"/>
        <v>37+2</v>
      </c>
      <c r="F127">
        <f>-2.278843*10^(-6)*A127^4+1.402168*10^(-3)*A127^3-2.008726*10^(-1)*A127^2 +9.284121*A127-4.125956*10^1</f>
        <v>3053.3091310596369</v>
      </c>
      <c r="U127" s="103" t="s">
        <v>870</v>
      </c>
      <c r="V127" s="2" t="s">
        <v>870</v>
      </c>
      <c r="W127" s="2" t="s">
        <v>871</v>
      </c>
      <c r="Y127" s="103" t="s">
        <v>189</v>
      </c>
      <c r="Z127" s="2" t="s">
        <v>188</v>
      </c>
      <c r="AA127" s="2" t="s">
        <v>872</v>
      </c>
    </row>
    <row r="128" spans="1:27">
      <c r="A128">
        <v>262</v>
      </c>
      <c r="B128">
        <f t="shared" si="10"/>
        <v>37</v>
      </c>
      <c r="C128">
        <f t="shared" si="12"/>
        <v>3</v>
      </c>
      <c r="D128" t="str">
        <f t="shared" si="11"/>
        <v>37+3</v>
      </c>
      <c r="F128">
        <f>-2.278843*10^(-6)*A128^4+1.402168*10^(-3)*A128^3-2.008726*10^(-1)*A128^2 +9.284121*A128-4.125956*10^1</f>
        <v>3082.1861423615546</v>
      </c>
      <c r="U128" s="102" t="s">
        <v>152</v>
      </c>
      <c r="V128" s="2" t="s">
        <v>152</v>
      </c>
      <c r="W128" s="2" t="s">
        <v>873</v>
      </c>
      <c r="Y128" s="103" t="s">
        <v>190</v>
      </c>
      <c r="Z128" s="2" t="s">
        <v>188</v>
      </c>
      <c r="AA128" s="2" t="s">
        <v>874</v>
      </c>
    </row>
    <row r="129" spans="1:27">
      <c r="A129">
        <v>263</v>
      </c>
      <c r="B129">
        <f t="shared" si="10"/>
        <v>37</v>
      </c>
      <c r="C129">
        <f t="shared" si="12"/>
        <v>4</v>
      </c>
      <c r="D129" t="str">
        <f t="shared" si="11"/>
        <v>37+4</v>
      </c>
      <c r="F129">
        <f>-2.278843*10^(-6)*A129^4+1.402168*10^(-3)*A129^3-2.008726*10^(-1)*A129^2 +9.284121*A129-4.125956*10^1</f>
        <v>3110.9884652150781</v>
      </c>
      <c r="U129" s="103" t="s">
        <v>875</v>
      </c>
      <c r="V129" s="2" t="s">
        <v>152</v>
      </c>
      <c r="W129" s="2" t="s">
        <v>876</v>
      </c>
      <c r="Y129" s="103" t="s">
        <v>192</v>
      </c>
      <c r="Z129" s="2" t="s">
        <v>188</v>
      </c>
      <c r="AA129" s="2" t="s">
        <v>877</v>
      </c>
    </row>
    <row r="130" spans="1:27">
      <c r="A130">
        <v>264</v>
      </c>
      <c r="B130">
        <f t="shared" si="10"/>
        <v>37</v>
      </c>
      <c r="C130">
        <f t="shared" si="12"/>
        <v>5</v>
      </c>
      <c r="D130" t="str">
        <f t="shared" si="11"/>
        <v>37+5</v>
      </c>
      <c r="F130">
        <f>-2.278843*10^(-6)*A130^4+1.402168*10^(-3)*A130^3-2.008726*10^(-1)*A130^2 +9.284121*A130-4.125956*10^1</f>
        <v>3139.7101559173152</v>
      </c>
      <c r="U130" s="103" t="s">
        <v>878</v>
      </c>
      <c r="V130" s="2" t="s">
        <v>152</v>
      </c>
      <c r="W130" s="2" t="s">
        <v>879</v>
      </c>
      <c r="Y130" s="103" t="s">
        <v>194</v>
      </c>
      <c r="Z130" s="2" t="s">
        <v>188</v>
      </c>
      <c r="AA130" s="2" t="s">
        <v>880</v>
      </c>
    </row>
    <row r="131" spans="1:27">
      <c r="A131">
        <v>265</v>
      </c>
      <c r="B131">
        <f t="shared" si="10"/>
        <v>37</v>
      </c>
      <c r="C131">
        <f t="shared" si="12"/>
        <v>6</v>
      </c>
      <c r="D131" t="str">
        <f t="shared" si="11"/>
        <v>37+6</v>
      </c>
      <c r="F131">
        <f>-2.278843*10^(-6)*A131^4+1.402168*10^(-3)*A131^3-2.008726*10^(-1)*A131^2 +9.284121*A131-4.125956*10^1</f>
        <v>3168.345216073124</v>
      </c>
      <c r="U131" s="102" t="s">
        <v>47</v>
      </c>
      <c r="V131" s="2" t="s">
        <v>47</v>
      </c>
      <c r="W131" s="2" t="s">
        <v>881</v>
      </c>
      <c r="Y131" s="103" t="s">
        <v>115</v>
      </c>
      <c r="Z131" s="2" t="s">
        <v>188</v>
      </c>
      <c r="AA131" s="2" t="s">
        <v>738</v>
      </c>
    </row>
    <row r="132" spans="1:27" ht="29.25">
      <c r="A132">
        <v>266</v>
      </c>
      <c r="B132">
        <f t="shared" si="10"/>
        <v>38</v>
      </c>
      <c r="C132">
        <f t="shared" si="12"/>
        <v>0</v>
      </c>
      <c r="D132" t="str">
        <f t="shared" si="11"/>
        <v>38+0</v>
      </c>
      <c r="F132">
        <f>-2.278843*10^(-6)*A132^4+1.402168*10^(-3)*A132^3-2.008726*10^(-1)*A132^2 +9.284121*A132-4.125956*10^1</f>
        <v>3196.8875925951529</v>
      </c>
      <c r="U132" s="103" t="s">
        <v>56</v>
      </c>
      <c r="V132" s="2" t="s">
        <v>47</v>
      </c>
      <c r="W132" s="2" t="s">
        <v>882</v>
      </c>
      <c r="Y132" s="102" t="s">
        <v>285</v>
      </c>
      <c r="Z132" s="2" t="s">
        <v>285</v>
      </c>
      <c r="AA132" s="2" t="s">
        <v>883</v>
      </c>
    </row>
    <row r="133" spans="1:27">
      <c r="A133">
        <v>267</v>
      </c>
      <c r="B133">
        <f t="shared" si="10"/>
        <v>38</v>
      </c>
      <c r="C133">
        <f t="shared" si="12"/>
        <v>1</v>
      </c>
      <c r="D133" t="str">
        <f t="shared" si="11"/>
        <v>38+1</v>
      </c>
      <c r="F133">
        <f>-2.278843*10^(-6)*A133^4+1.402168*10^(-3)*A133^3-2.008726*10^(-1)*A133^2 +9.284121*A133-4.125956*10^1</f>
        <v>3225.3311777037998</v>
      </c>
      <c r="U133" s="103" t="s">
        <v>48</v>
      </c>
      <c r="V133" s="2" t="s">
        <v>47</v>
      </c>
      <c r="W133" s="2" t="s">
        <v>884</v>
      </c>
      <c r="Y133" s="102" t="s">
        <v>885</v>
      </c>
      <c r="Z133" s="2" t="s">
        <v>885</v>
      </c>
      <c r="AA133" s="2" t="s">
        <v>886</v>
      </c>
    </row>
    <row r="134" spans="1:27">
      <c r="A134">
        <v>268</v>
      </c>
      <c r="B134">
        <f t="shared" si="10"/>
        <v>38</v>
      </c>
      <c r="C134">
        <f t="shared" si="12"/>
        <v>2</v>
      </c>
      <c r="D134" t="str">
        <f t="shared" si="11"/>
        <v>38+2</v>
      </c>
      <c r="F134">
        <f>-2.278843*10^(-6)*A134^4+1.402168*10^(-3)*A134^3-2.008726*10^(-1)*A134^2 +9.284121*A134-4.125956*10^1</f>
        <v>3253.6698089272313</v>
      </c>
      <c r="U134" s="102" t="s">
        <v>887</v>
      </c>
      <c r="V134" s="2" t="s">
        <v>887</v>
      </c>
      <c r="W134" s="2" t="s">
        <v>888</v>
      </c>
      <c r="Y134" s="103" t="s">
        <v>218</v>
      </c>
      <c r="Z134" s="2" t="s">
        <v>885</v>
      </c>
      <c r="AA134" s="2" t="s">
        <v>889</v>
      </c>
    </row>
    <row r="135" spans="1:27" ht="27">
      <c r="A135">
        <v>269</v>
      </c>
      <c r="B135">
        <f t="shared" si="10"/>
        <v>38</v>
      </c>
      <c r="C135">
        <f t="shared" si="12"/>
        <v>3</v>
      </c>
      <c r="D135" t="str">
        <f t="shared" si="11"/>
        <v>38+3</v>
      </c>
      <c r="F135">
        <f>-2.278843*10^(-6)*A135^4+1.402168*10^(-3)*A135^3-2.008726*10^(-1)*A135^2 +9.284121*A135-4.125956*10^1</f>
        <v>3281.8972691013992</v>
      </c>
      <c r="U135" s="103" t="s">
        <v>174</v>
      </c>
      <c r="V135" s="2" t="s">
        <v>887</v>
      </c>
      <c r="W135" s="2" t="s">
        <v>890</v>
      </c>
      <c r="Y135" s="103" t="s">
        <v>212</v>
      </c>
      <c r="Z135" s="2" t="s">
        <v>885</v>
      </c>
      <c r="AA135" s="2" t="s">
        <v>891</v>
      </c>
    </row>
    <row r="136" spans="1:27" ht="29.25">
      <c r="A136">
        <v>270</v>
      </c>
      <c r="B136">
        <f t="shared" si="10"/>
        <v>38</v>
      </c>
      <c r="C136">
        <f t="shared" si="12"/>
        <v>4</v>
      </c>
      <c r="D136" t="str">
        <f t="shared" si="11"/>
        <v>38+4</v>
      </c>
      <c r="F136">
        <f>-2.278843*10^(-6)*A136^4+1.402168*10^(-3)*A136^3-2.008726*10^(-1)*A136^2 +9.284121*A136-4.125956*10^1</f>
        <v>3310.0072863700007</v>
      </c>
      <c r="U136" s="102" t="s">
        <v>173</v>
      </c>
      <c r="V136" s="2" t="s">
        <v>173</v>
      </c>
      <c r="W136" s="2" t="s">
        <v>892</v>
      </c>
      <c r="Y136" s="103" t="s">
        <v>215</v>
      </c>
      <c r="Z136" s="2" t="s">
        <v>885</v>
      </c>
      <c r="AA136" s="2" t="s">
        <v>893</v>
      </c>
    </row>
    <row r="137" spans="1:27" ht="29.25">
      <c r="A137">
        <v>271</v>
      </c>
      <c r="B137">
        <f t="shared" si="10"/>
        <v>38</v>
      </c>
      <c r="C137">
        <f t="shared" si="12"/>
        <v>5</v>
      </c>
      <c r="D137" t="str">
        <f t="shared" si="11"/>
        <v>38+5</v>
      </c>
      <c r="F137">
        <f>-2.278843*10^(-6)*A137^4+1.402168*10^(-3)*A137^3-2.008726*10^(-1)*A137^2 +9.284121*A137-4.125956*10^1</f>
        <v>3337.9935341845203</v>
      </c>
      <c r="U137" s="103" t="s">
        <v>173</v>
      </c>
      <c r="V137" s="2" t="s">
        <v>173</v>
      </c>
      <c r="W137" s="2" t="s">
        <v>892</v>
      </c>
      <c r="Y137" s="103" t="s">
        <v>203</v>
      </c>
      <c r="Z137" s="2" t="s">
        <v>885</v>
      </c>
      <c r="AA137" s="2" t="s">
        <v>894</v>
      </c>
    </row>
    <row r="138" spans="1:27">
      <c r="A138">
        <v>272</v>
      </c>
      <c r="B138">
        <f t="shared" si="10"/>
        <v>38</v>
      </c>
      <c r="C138">
        <f t="shared" si="12"/>
        <v>6</v>
      </c>
      <c r="D138" t="str">
        <f t="shared" si="11"/>
        <v>38+6</v>
      </c>
      <c r="F138">
        <f>-2.278843*10^(-6)*A138^4+1.402168*10^(-3)*A138^3-2.008726*10^(-1)*A138^2 +9.284121*A138-4.125956*10^1</f>
        <v>3365.8496313041946</v>
      </c>
      <c r="U138" s="102" t="s">
        <v>895</v>
      </c>
      <c r="V138" s="2" t="s">
        <v>750</v>
      </c>
      <c r="W138" s="2"/>
      <c r="Y138" s="103" t="s">
        <v>206</v>
      </c>
      <c r="Z138" s="2" t="s">
        <v>885</v>
      </c>
      <c r="AA138" s="2" t="s">
        <v>896</v>
      </c>
    </row>
    <row r="139" spans="1:27">
      <c r="A139">
        <v>273</v>
      </c>
      <c r="B139">
        <f t="shared" si="10"/>
        <v>39</v>
      </c>
      <c r="C139">
        <f t="shared" si="12"/>
        <v>0</v>
      </c>
      <c r="D139" t="str">
        <f t="shared" si="11"/>
        <v>39+0</v>
      </c>
      <c r="F139">
        <f>-2.278843*10^(-6)*A139^4+1.402168*10^(-3)*A139^3-2.008726*10^(-1)*A139^2 +9.284121*A139-4.125956*10^1</f>
        <v>3393.5691417960406</v>
      </c>
      <c r="U139" s="103" t="s">
        <v>265</v>
      </c>
      <c r="V139" s="2" t="s">
        <v>750</v>
      </c>
      <c r="W139" s="2"/>
      <c r="Y139" s="103" t="s">
        <v>209</v>
      </c>
      <c r="Z139" s="2" t="s">
        <v>885</v>
      </c>
      <c r="AA139" s="2" t="s">
        <v>897</v>
      </c>
    </row>
    <row r="140" spans="1:27">
      <c r="A140">
        <v>274</v>
      </c>
      <c r="B140">
        <f t="shared" si="10"/>
        <v>39</v>
      </c>
      <c r="C140">
        <f t="shared" si="12"/>
        <v>1</v>
      </c>
      <c r="D140" t="str">
        <f t="shared" si="11"/>
        <v>39+1</v>
      </c>
      <c r="F140">
        <f>-2.278843*10^(-6)*A140^4+1.402168*10^(-3)*A140^3-2.008726*10^(-1)*A140^2 +9.284121*A140-4.125956*10^1</f>
        <v>3421.1455750348332</v>
      </c>
      <c r="U140" s="106" t="s">
        <v>898</v>
      </c>
      <c r="V140" s="2" t="s">
        <v>898</v>
      </c>
      <c r="W140" s="2" t="s">
        <v>899</v>
      </c>
      <c r="Y140" s="102" t="s">
        <v>900</v>
      </c>
      <c r="Z140" s="2" t="s">
        <v>900</v>
      </c>
      <c r="AA140" s="2" t="s">
        <v>901</v>
      </c>
    </row>
    <row r="141" spans="1:27">
      <c r="A141">
        <v>275</v>
      </c>
      <c r="B141">
        <f t="shared" si="10"/>
        <v>39</v>
      </c>
      <c r="C141">
        <f t="shared" si="12"/>
        <v>2</v>
      </c>
      <c r="D141" t="str">
        <f t="shared" si="11"/>
        <v>39+2</v>
      </c>
      <c r="F141">
        <f>-2.278843*10^(-6)*A141^4+1.402168*10^(-3)*A141^3-2.008726*10^(-1)*A141^2 +9.284121*A141-4.125956*10^1</f>
        <v>3448.5723857031248</v>
      </c>
      <c r="U141" s="107"/>
      <c r="W141" s="2"/>
      <c r="Y141" s="103" t="s">
        <v>197</v>
      </c>
      <c r="Z141" s="2" t="s">
        <v>900</v>
      </c>
      <c r="AA141" s="2" t="s">
        <v>738</v>
      </c>
    </row>
    <row r="142" spans="1:27">
      <c r="A142">
        <v>276</v>
      </c>
      <c r="B142">
        <f t="shared" si="10"/>
        <v>39</v>
      </c>
      <c r="C142">
        <f t="shared" si="12"/>
        <v>3</v>
      </c>
      <c r="D142" t="str">
        <f t="shared" si="11"/>
        <v>39+3</v>
      </c>
      <c r="F142">
        <f>-2.278843*10^(-6)*A142^4+1.402168*10^(-3)*A142^3-2.008726*10^(-1)*A142^2 +9.284121*A142-4.125956*10^1</f>
        <v>3475.842973791232</v>
      </c>
      <c r="U142" s="103"/>
      <c r="W142" s="2"/>
      <c r="Y142" s="103" t="s">
        <v>196</v>
      </c>
      <c r="Z142" s="2" t="s">
        <v>900</v>
      </c>
      <c r="AA142" s="2" t="s">
        <v>902</v>
      </c>
    </row>
    <row r="143" spans="1:27">
      <c r="A143">
        <v>277</v>
      </c>
      <c r="B143">
        <f t="shared" si="10"/>
        <v>39</v>
      </c>
      <c r="C143">
        <f t="shared" si="12"/>
        <v>4</v>
      </c>
      <c r="D143" t="str">
        <f t="shared" si="11"/>
        <v>39+4</v>
      </c>
      <c r="F143">
        <f>-2.278843*10^(-6)*A143^4+1.402168*10^(-3)*A143^3-2.008726*10^(-1)*A143^2 +9.284121*A143-4.125956*10^1</f>
        <v>3502.9506845972405</v>
      </c>
      <c r="U143" s="102" t="s">
        <v>166</v>
      </c>
      <c r="V143" s="2" t="s">
        <v>166</v>
      </c>
      <c r="W143" s="2" t="s">
        <v>903</v>
      </c>
      <c r="Y143" s="102"/>
      <c r="Z143" s="2" t="s">
        <v>750</v>
      </c>
      <c r="AA143" s="2"/>
    </row>
    <row r="144" spans="1:27">
      <c r="A144">
        <v>278</v>
      </c>
      <c r="B144">
        <f t="shared" si="10"/>
        <v>39</v>
      </c>
      <c r="C144">
        <f t="shared" si="12"/>
        <v>5</v>
      </c>
      <c r="D144" t="str">
        <f t="shared" si="11"/>
        <v>39+5</v>
      </c>
      <c r="F144">
        <f>-2.278843*10^(-6)*A144^4+1.402168*10^(-3)*A144^3-2.008726*10^(-1)*A144^2 +9.284121*A144-4.125956*10^1</f>
        <v>3529.888808726992</v>
      </c>
      <c r="U144" s="103" t="s">
        <v>39</v>
      </c>
      <c r="V144" s="2" t="s">
        <v>166</v>
      </c>
      <c r="W144" s="2" t="s">
        <v>738</v>
      </c>
      <c r="Y144" s="102" t="s">
        <v>412</v>
      </c>
      <c r="Z144" s="2" t="s">
        <v>412</v>
      </c>
      <c r="AA144" s="2" t="s">
        <v>904</v>
      </c>
    </row>
    <row r="145" spans="1:27">
      <c r="A145">
        <v>279</v>
      </c>
      <c r="B145">
        <f t="shared" si="10"/>
        <v>39</v>
      </c>
      <c r="C145">
        <f t="shared" si="12"/>
        <v>6</v>
      </c>
      <c r="D145" t="str">
        <f t="shared" si="11"/>
        <v>39+6</v>
      </c>
      <c r="F145">
        <f>-2.278843*10^(-6)*A145^4+1.402168*10^(-3)*A145^3-2.008726*10^(-1)*A145^2 +9.284121*A145-4.125956*10^1</f>
        <v>3556.6505820941184</v>
      </c>
      <c r="U145" s="103" t="s">
        <v>166</v>
      </c>
      <c r="V145" s="2" t="s">
        <v>166</v>
      </c>
      <c r="W145" s="2" t="s">
        <v>903</v>
      </c>
      <c r="Y145" s="103" t="s">
        <v>200</v>
      </c>
      <c r="Z145" s="2" t="s">
        <v>412</v>
      </c>
      <c r="AA145" s="2" t="s">
        <v>904</v>
      </c>
    </row>
    <row r="146" spans="1:27">
      <c r="A146">
        <v>280</v>
      </c>
      <c r="B146">
        <f t="shared" si="10"/>
        <v>40</v>
      </c>
      <c r="C146">
        <f t="shared" si="12"/>
        <v>0</v>
      </c>
      <c r="D146" t="str">
        <f t="shared" si="11"/>
        <v>40+0</v>
      </c>
      <c r="F146">
        <f>-2.278843*10^(-6)*A146^4+1.402168*10^(-3)*A146^3-2.008726*10^(-1)*A146^2 +9.284121*A146-4.125956*10^1</f>
        <v>3583.2291859199991</v>
      </c>
      <c r="U146" s="102" t="s">
        <v>32</v>
      </c>
      <c r="V146" s="2" t="s">
        <v>32</v>
      </c>
      <c r="W146" s="2" t="s">
        <v>905</v>
      </c>
      <c r="Y146" s="102" t="s">
        <v>279</v>
      </c>
      <c r="Z146" s="2" t="s">
        <v>279</v>
      </c>
      <c r="AA146" s="2" t="s">
        <v>906</v>
      </c>
    </row>
    <row r="147" spans="1:27" ht="29.25">
      <c r="A147">
        <v>281</v>
      </c>
      <c r="B147">
        <f t="shared" si="10"/>
        <v>40</v>
      </c>
      <c r="C147">
        <f t="shared" si="12"/>
        <v>1</v>
      </c>
      <c r="D147" t="str">
        <f t="shared" si="11"/>
        <v>40+1</v>
      </c>
      <c r="F147">
        <f>-2.278843*10^(-6)*A147^4+1.402168*10^(-3)*A147^3-2.008726*10^(-1)*A147^2 +9.284121*A147-4.125956*10^1</f>
        <v>3609.6177467337989</v>
      </c>
      <c r="U147" s="103" t="s">
        <v>33</v>
      </c>
      <c r="V147" s="2" t="s">
        <v>32</v>
      </c>
      <c r="W147" s="2" t="s">
        <v>907</v>
      </c>
      <c r="Y147" s="102" t="s">
        <v>908</v>
      </c>
      <c r="Z147" s="2" t="s">
        <v>908</v>
      </c>
      <c r="AA147" s="2" t="s">
        <v>796</v>
      </c>
    </row>
    <row r="148" spans="1:27" ht="43.5">
      <c r="A148">
        <v>282</v>
      </c>
      <c r="B148">
        <f t="shared" si="10"/>
        <v>40</v>
      </c>
      <c r="C148">
        <f t="shared" si="12"/>
        <v>2</v>
      </c>
      <c r="D148" t="str">
        <f t="shared" si="11"/>
        <v>40+2</v>
      </c>
      <c r="F148">
        <f>-2.278843*10^(-6)*A148^4+1.402168*10^(-3)*A148^3-2.008726*10^(-1)*A148^2 +9.284121*A148-4.125956*10^1</f>
        <v>3635.8093363724329</v>
      </c>
      <c r="U148" s="103" t="s">
        <v>39</v>
      </c>
      <c r="V148" s="2" t="s">
        <v>32</v>
      </c>
      <c r="W148" s="2" t="s">
        <v>738</v>
      </c>
      <c r="Y148" s="102" t="s">
        <v>909</v>
      </c>
      <c r="Z148" s="2" t="s">
        <v>909</v>
      </c>
      <c r="AA148" s="2"/>
    </row>
    <row r="149" spans="1:27" ht="43.5">
      <c r="A149">
        <v>283</v>
      </c>
      <c r="B149">
        <f t="shared" si="10"/>
        <v>40</v>
      </c>
      <c r="C149">
        <f t="shared" si="12"/>
        <v>3</v>
      </c>
      <c r="D149" t="str">
        <f t="shared" si="11"/>
        <v>40+3</v>
      </c>
      <c r="F149">
        <f>-2.278843*10^(-6)*A149^4+1.402168*10^(-3)*A149^3-2.008726*10^(-1)*A149^2 +9.284121*A149-4.125956*10^1</f>
        <v>3661.7969719806001</v>
      </c>
      <c r="U149" s="103" t="s">
        <v>37</v>
      </c>
      <c r="V149" s="2" t="s">
        <v>32</v>
      </c>
      <c r="W149" s="2" t="s">
        <v>910</v>
      </c>
      <c r="Y149" s="103" t="s">
        <v>525</v>
      </c>
      <c r="Z149" s="2" t="s">
        <v>909</v>
      </c>
      <c r="AA149" s="2" t="s">
        <v>911</v>
      </c>
    </row>
    <row r="150" spans="1:27" ht="43.5">
      <c r="A150">
        <v>284</v>
      </c>
      <c r="B150">
        <f t="shared" si="10"/>
        <v>40</v>
      </c>
      <c r="C150">
        <f t="shared" si="12"/>
        <v>4</v>
      </c>
      <c r="D150" t="str">
        <f t="shared" si="11"/>
        <v>40+4</v>
      </c>
      <c r="F150">
        <f>-2.278843*10^(-6)*A150^4+1.402168*10^(-3)*A150^3-2.008726*10^(-1)*A150^2 +9.284121*A150-4.125956*10^1</f>
        <v>3687.5736160107504</v>
      </c>
      <c r="U150" s="103" t="s">
        <v>35</v>
      </c>
      <c r="V150" s="2" t="s">
        <v>32</v>
      </c>
      <c r="W150" s="2" t="s">
        <v>912</v>
      </c>
      <c r="Y150" s="103" t="s">
        <v>548</v>
      </c>
      <c r="Z150" s="2" t="s">
        <v>909</v>
      </c>
      <c r="AA150" s="2" t="s">
        <v>913</v>
      </c>
    </row>
    <row r="151" spans="1:27" ht="43.5">
      <c r="A151">
        <v>285</v>
      </c>
      <c r="B151">
        <f t="shared" si="10"/>
        <v>40</v>
      </c>
      <c r="C151">
        <f t="shared" si="12"/>
        <v>5</v>
      </c>
      <c r="D151" t="str">
        <f t="shared" si="11"/>
        <v>40+5</v>
      </c>
      <c r="F151">
        <f>-2.278843*10^(-6)*A151^4+1.402168*10^(-3)*A151^3-2.008726*10^(-1)*A151^2 +9.284121*A151-4.125956*10^1</f>
        <v>3713.1321762231255</v>
      </c>
      <c r="U151" s="103" t="s">
        <v>489</v>
      </c>
      <c r="V151" s="2" t="s">
        <v>253</v>
      </c>
      <c r="W151" s="2" t="s">
        <v>914</v>
      </c>
      <c r="Y151" s="103" t="s">
        <v>432</v>
      </c>
      <c r="Z151" s="2" t="s">
        <v>909</v>
      </c>
      <c r="AA151" s="2" t="s">
        <v>817</v>
      </c>
    </row>
    <row r="152" spans="1:27" ht="43.5">
      <c r="A152">
        <v>286</v>
      </c>
      <c r="B152">
        <f t="shared" si="10"/>
        <v>40</v>
      </c>
      <c r="C152">
        <f t="shared" si="12"/>
        <v>6</v>
      </c>
      <c r="D152" t="str">
        <f t="shared" si="11"/>
        <v>40+6</v>
      </c>
      <c r="F152">
        <f>-2.278843*10^(-6)*A152^4+1.402168*10^(-3)*A152^3-2.008726*10^(-1)*A152^2 +9.284121*A152-4.125956*10^1</f>
        <v>3738.4655056857114</v>
      </c>
      <c r="U152" s="102" t="s">
        <v>103</v>
      </c>
      <c r="V152" s="2" t="s">
        <v>103</v>
      </c>
      <c r="W152" s="2" t="s">
        <v>915</v>
      </c>
      <c r="Y152" s="103" t="s">
        <v>489</v>
      </c>
      <c r="Z152" s="2" t="s">
        <v>909</v>
      </c>
      <c r="AA152" s="2" t="s">
        <v>914</v>
      </c>
    </row>
    <row r="153" spans="1:27" ht="29.25">
      <c r="A153">
        <v>287</v>
      </c>
      <c r="B153">
        <f t="shared" si="10"/>
        <v>41</v>
      </c>
      <c r="C153">
        <f t="shared" si="12"/>
        <v>0</v>
      </c>
      <c r="D153" t="str">
        <f t="shared" si="11"/>
        <v>41+0</v>
      </c>
      <c r="F153">
        <f>-2.278843*10^(-6)*A153^4+1.402168*10^(-3)*A153^3-2.008726*10^(-1)*A153^2 +9.284121*A153-4.125956*10^1</f>
        <v>3763.566402774281</v>
      </c>
      <c r="U153" s="103" t="s">
        <v>110</v>
      </c>
      <c r="V153" s="2" t="s">
        <v>103</v>
      </c>
      <c r="W153" s="2" t="s">
        <v>916</v>
      </c>
      <c r="Y153" s="102" t="s">
        <v>411</v>
      </c>
      <c r="Z153" s="2" t="s">
        <v>411</v>
      </c>
      <c r="AA153" s="2"/>
    </row>
    <row r="154" spans="1:27" ht="29.25">
      <c r="A154">
        <v>288</v>
      </c>
      <c r="B154">
        <f t="shared" si="10"/>
        <v>41</v>
      </c>
      <c r="C154">
        <f t="shared" si="12"/>
        <v>1</v>
      </c>
      <c r="D154" t="str">
        <f t="shared" si="11"/>
        <v>41+1</v>
      </c>
      <c r="F154">
        <f>-2.278843*10^(-6)*A154^4+1.402168*10^(-3)*A154^3-2.008726*10^(-1)*A154^2 +9.284121*A154-4.125956*10^1</f>
        <v>3788.4276111723539</v>
      </c>
      <c r="U154" s="103" t="s">
        <v>111</v>
      </c>
      <c r="V154" s="2" t="s">
        <v>103</v>
      </c>
      <c r="W154" s="2" t="s">
        <v>917</v>
      </c>
      <c r="Y154" s="103" t="s">
        <v>486</v>
      </c>
      <c r="Z154" s="2" t="s">
        <v>411</v>
      </c>
      <c r="AA154" s="2" t="s">
        <v>918</v>
      </c>
    </row>
    <row r="155" spans="1:27" ht="29.25">
      <c r="A155">
        <v>289</v>
      </c>
      <c r="B155">
        <f t="shared" si="10"/>
        <v>41</v>
      </c>
      <c r="C155">
        <f t="shared" si="12"/>
        <v>2</v>
      </c>
      <c r="D155" t="str">
        <f t="shared" si="11"/>
        <v>41+2</v>
      </c>
      <c r="F155">
        <f>-2.278843*10^(-6)*A155^4+1.402168*10^(-3)*A155^3-2.008726*10^(-1)*A155^2 +9.284121*A155-4.125956*10^1</f>
        <v>3813.0418198712409</v>
      </c>
      <c r="U155" s="103" t="s">
        <v>112</v>
      </c>
      <c r="V155" s="2" t="s">
        <v>103</v>
      </c>
      <c r="W155" s="2" t="s">
        <v>787</v>
      </c>
      <c r="Y155" s="103" t="s">
        <v>523</v>
      </c>
      <c r="Z155" s="2" t="s">
        <v>411</v>
      </c>
      <c r="AA155" s="2" t="s">
        <v>919</v>
      </c>
    </row>
    <row r="156" spans="1:27" ht="29.25">
      <c r="A156">
        <v>290</v>
      </c>
      <c r="B156">
        <f t="shared" si="10"/>
        <v>41</v>
      </c>
      <c r="C156">
        <f t="shared" si="12"/>
        <v>3</v>
      </c>
      <c r="D156" t="str">
        <f t="shared" si="11"/>
        <v>41+3</v>
      </c>
      <c r="F156">
        <f>-2.278843*10^(-6)*A156^4+1.402168*10^(-3)*A156^3-2.008726*10^(-1)*A156^2 +9.284121*A156-4.125956*10^1</f>
        <v>3837.4016631700006</v>
      </c>
      <c r="U156" s="102" t="s">
        <v>60</v>
      </c>
      <c r="V156" s="2" t="s">
        <v>60</v>
      </c>
      <c r="W156" s="2" t="s">
        <v>920</v>
      </c>
      <c r="Y156" s="103" t="s">
        <v>445</v>
      </c>
      <c r="Z156" s="2" t="s">
        <v>411</v>
      </c>
      <c r="AA156" s="2" t="s">
        <v>921</v>
      </c>
    </row>
    <row r="157" spans="1:27" ht="29.25">
      <c r="A157">
        <v>291</v>
      </c>
      <c r="B157">
        <f t="shared" si="10"/>
        <v>41</v>
      </c>
      <c r="C157">
        <f t="shared" si="12"/>
        <v>4</v>
      </c>
      <c r="D157" t="str">
        <f t="shared" si="11"/>
        <v>41+4</v>
      </c>
      <c r="F157">
        <f>-2.278843*10^(-6)*A157^4+1.402168*10^(-3)*A157^3-2.008726*10^(-1)*A157^2 +9.284121*A157-4.125956*10^1</f>
        <v>3861.4997206754742</v>
      </c>
      <c r="U157" s="103" t="s">
        <v>81</v>
      </c>
      <c r="V157" s="2" t="s">
        <v>60</v>
      </c>
      <c r="W157" s="2" t="s">
        <v>922</v>
      </c>
      <c r="Y157" s="103" t="s">
        <v>546</v>
      </c>
      <c r="Z157" s="2" t="s">
        <v>411</v>
      </c>
      <c r="AA157" s="2" t="s">
        <v>923</v>
      </c>
    </row>
    <row r="158" spans="1:27" ht="29.25">
      <c r="A158">
        <v>292</v>
      </c>
      <c r="B158">
        <f t="shared" si="10"/>
        <v>41</v>
      </c>
      <c r="C158">
        <f t="shared" si="12"/>
        <v>5</v>
      </c>
      <c r="D158" t="str">
        <f t="shared" si="11"/>
        <v>41+5</v>
      </c>
      <c r="F158">
        <f>-2.278843*10^(-6)*A158^4+1.402168*10^(-3)*A158^3-2.008726*10^(-1)*A158^2 +9.284121*A158-4.125956*10^1</f>
        <v>3885.3285173022737</v>
      </c>
      <c r="U158" s="103" t="s">
        <v>69</v>
      </c>
      <c r="V158" s="2" t="s">
        <v>60</v>
      </c>
      <c r="W158" s="2" t="s">
        <v>917</v>
      </c>
      <c r="Y158" s="103" t="s">
        <v>582</v>
      </c>
      <c r="Z158" s="2" t="s">
        <v>411</v>
      </c>
      <c r="AA158" s="2" t="s">
        <v>924</v>
      </c>
    </row>
    <row r="159" spans="1:27" ht="29.25">
      <c r="A159">
        <v>293</v>
      </c>
      <c r="B159">
        <f t="shared" si="10"/>
        <v>41</v>
      </c>
      <c r="C159">
        <f t="shared" si="12"/>
        <v>6</v>
      </c>
      <c r="D159" t="str">
        <f t="shared" si="11"/>
        <v>41+6</v>
      </c>
      <c r="F159">
        <f>-2.278843*10^(-6)*A159^4+1.402168*10^(-3)*A159^3-2.008726*10^(-1)*A159^2 +9.284121*A159-4.125956*10^1</f>
        <v>3908.88052327276</v>
      </c>
      <c r="U159" s="103" t="s">
        <v>925</v>
      </c>
      <c r="V159" s="2" t="s">
        <v>60</v>
      </c>
      <c r="W159" s="2" t="s">
        <v>926</v>
      </c>
      <c r="Y159" s="103" t="s">
        <v>566</v>
      </c>
      <c r="Z159" s="2" t="s">
        <v>411</v>
      </c>
      <c r="AA159" s="2" t="s">
        <v>927</v>
      </c>
    </row>
    <row r="160" spans="1:27" ht="29.25">
      <c r="A160">
        <v>294</v>
      </c>
      <c r="B160">
        <f t="shared" si="10"/>
        <v>42</v>
      </c>
      <c r="C160">
        <f t="shared" si="12"/>
        <v>0</v>
      </c>
      <c r="D160" t="str">
        <f t="shared" si="11"/>
        <v>42+0</v>
      </c>
      <c r="F160">
        <f>-2.278843*10^(-6)*A160^4+1.402168*10^(-3)*A160^3-2.008726*10^(-1)*A160^2 +9.284121*A160-4.125956*10^1</f>
        <v>3932.1481541170779</v>
      </c>
      <c r="U160" s="103" t="s">
        <v>71</v>
      </c>
      <c r="V160" s="2" t="s">
        <v>60</v>
      </c>
      <c r="W160" s="2" t="s">
        <v>783</v>
      </c>
      <c r="Y160" s="102" t="s">
        <v>218</v>
      </c>
      <c r="Z160" s="2" t="s">
        <v>218</v>
      </c>
      <c r="AA160" s="2"/>
    </row>
    <row r="161" spans="1:27" ht="29.25">
      <c r="A161">
        <v>295</v>
      </c>
      <c r="B161">
        <f t="shared" si="10"/>
        <v>42</v>
      </c>
      <c r="C161">
        <f t="shared" si="12"/>
        <v>1</v>
      </c>
      <c r="D161" t="str">
        <f t="shared" si="11"/>
        <v>42+1</v>
      </c>
      <c r="F161">
        <f>-2.278843*10^(-6)*A161^4+1.402168*10^(-3)*A161^3-2.008726*10^(-1)*A161^2 +9.284121*A161-4.125956*10^1</f>
        <v>3955.1237706731276</v>
      </c>
      <c r="U161" s="103" t="s">
        <v>79</v>
      </c>
      <c r="V161" s="2" t="s">
        <v>60</v>
      </c>
      <c r="W161" s="2" t="s">
        <v>928</v>
      </c>
      <c r="Y161" s="103" t="s">
        <v>167</v>
      </c>
      <c r="Z161" s="2" t="s">
        <v>218</v>
      </c>
      <c r="AA161" s="2" t="s">
        <v>929</v>
      </c>
    </row>
    <row r="162" spans="1:27" ht="29.25">
      <c r="A162">
        <v>296</v>
      </c>
      <c r="B162">
        <f t="shared" si="10"/>
        <v>42</v>
      </c>
      <c r="C162">
        <f t="shared" si="12"/>
        <v>2</v>
      </c>
      <c r="D162" t="str">
        <f t="shared" si="11"/>
        <v>42+2</v>
      </c>
      <c r="F162">
        <f>-2.278843*10^(-6)*A162^4+1.402168*10^(-3)*A162^3-2.008726*10^(-1)*A162^2 +9.284121*A162-4.125956*10^1</f>
        <v>3977.7996790865955</v>
      </c>
      <c r="U162" s="103" t="s">
        <v>75</v>
      </c>
      <c r="V162" s="2" t="s">
        <v>60</v>
      </c>
      <c r="W162" s="2" t="s">
        <v>738</v>
      </c>
      <c r="Y162" s="103" t="s">
        <v>508</v>
      </c>
      <c r="Z162" s="2" t="s">
        <v>218</v>
      </c>
      <c r="AA162" s="2" t="s">
        <v>930</v>
      </c>
    </row>
    <row r="163" spans="1:27" ht="29.25">
      <c r="U163" s="103" t="s">
        <v>78</v>
      </c>
      <c r="V163" s="2" t="s">
        <v>60</v>
      </c>
      <c r="W163" s="2" t="s">
        <v>738</v>
      </c>
      <c r="Y163" s="103" t="s">
        <v>432</v>
      </c>
      <c r="Z163" s="2" t="s">
        <v>218</v>
      </c>
      <c r="AA163" s="2" t="s">
        <v>931</v>
      </c>
    </row>
    <row r="164" spans="1:27">
      <c r="U164" s="103" t="s">
        <v>80</v>
      </c>
      <c r="V164" s="2" t="s">
        <v>60</v>
      </c>
      <c r="W164" s="2" t="s">
        <v>932</v>
      </c>
      <c r="Y164" s="102" t="s">
        <v>416</v>
      </c>
      <c r="Z164" s="2" t="s">
        <v>416</v>
      </c>
      <c r="AA164" s="2"/>
    </row>
    <row r="165" spans="1:27">
      <c r="U165" s="102" t="s">
        <v>57</v>
      </c>
      <c r="V165" s="2" t="s">
        <v>57</v>
      </c>
      <c r="W165" s="2" t="s">
        <v>933</v>
      </c>
      <c r="Y165" s="103" t="s">
        <v>495</v>
      </c>
      <c r="Z165" s="2" t="s">
        <v>416</v>
      </c>
      <c r="AA165" s="2" t="s">
        <v>934</v>
      </c>
    </row>
    <row r="166" spans="1:27" ht="29.25">
      <c r="U166" s="102" t="s">
        <v>935</v>
      </c>
      <c r="V166" s="2" t="s">
        <v>935</v>
      </c>
      <c r="W166" s="2" t="s">
        <v>936</v>
      </c>
      <c r="Y166" s="103" t="s">
        <v>453</v>
      </c>
      <c r="Z166" s="2" t="s">
        <v>416</v>
      </c>
      <c r="AA166" s="2" t="s">
        <v>937</v>
      </c>
    </row>
    <row r="167" spans="1:27" ht="29.25">
      <c r="U167" s="103" t="s">
        <v>39</v>
      </c>
      <c r="V167" s="2" t="s">
        <v>935</v>
      </c>
      <c r="W167" s="2" t="s">
        <v>738</v>
      </c>
      <c r="Y167" s="102" t="s">
        <v>295</v>
      </c>
      <c r="Z167" s="2" t="s">
        <v>295</v>
      </c>
      <c r="AA167" s="2"/>
    </row>
    <row r="168" spans="1:27" ht="29.25">
      <c r="U168" s="103" t="s">
        <v>935</v>
      </c>
      <c r="V168" s="2" t="s">
        <v>935</v>
      </c>
      <c r="W168" s="2" t="s">
        <v>936</v>
      </c>
      <c r="Y168" s="103" t="s">
        <v>454</v>
      </c>
      <c r="Z168" s="2" t="s">
        <v>295</v>
      </c>
      <c r="AA168" s="2" t="s">
        <v>938</v>
      </c>
    </row>
    <row r="169" spans="1:27" ht="27">
      <c r="U169" s="102" t="s">
        <v>939</v>
      </c>
      <c r="V169" s="2" t="s">
        <v>750</v>
      </c>
      <c r="W169" s="2"/>
      <c r="Y169" s="103" t="s">
        <v>552</v>
      </c>
      <c r="Z169" s="2" t="s">
        <v>295</v>
      </c>
      <c r="AA169" s="2" t="s">
        <v>847</v>
      </c>
    </row>
    <row r="170" spans="1:27">
      <c r="U170" s="103" t="s">
        <v>849</v>
      </c>
      <c r="V170" s="2" t="s">
        <v>750</v>
      </c>
      <c r="W170" s="2"/>
      <c r="Y170" s="103" t="s">
        <v>496</v>
      </c>
      <c r="Z170" s="2" t="s">
        <v>295</v>
      </c>
      <c r="AA170" s="2" t="s">
        <v>940</v>
      </c>
    </row>
    <row r="171" spans="1:27" ht="27">
      <c r="U171" s="103" t="s">
        <v>941</v>
      </c>
      <c r="V171" s="2" t="s">
        <v>941</v>
      </c>
      <c r="W171" s="2" t="s">
        <v>942</v>
      </c>
      <c r="Y171" s="103" t="s">
        <v>529</v>
      </c>
      <c r="Z171" s="2" t="s">
        <v>295</v>
      </c>
      <c r="AA171" s="2" t="s">
        <v>943</v>
      </c>
    </row>
    <row r="172" spans="1:27" ht="29.25">
      <c r="U172" s="102" t="s">
        <v>137</v>
      </c>
      <c r="V172" s="2" t="s">
        <v>137</v>
      </c>
      <c r="W172" s="2" t="s">
        <v>716</v>
      </c>
      <c r="Y172" s="102" t="s">
        <v>271</v>
      </c>
      <c r="Z172" s="2" t="s">
        <v>750</v>
      </c>
      <c r="AA172" s="2"/>
    </row>
    <row r="173" spans="1:27" ht="43.5">
      <c r="U173" s="103" t="s">
        <v>137</v>
      </c>
      <c r="V173" s="2" t="s">
        <v>137</v>
      </c>
      <c r="W173" s="2" t="s">
        <v>716</v>
      </c>
      <c r="Y173" s="103" t="s">
        <v>451</v>
      </c>
      <c r="Z173" s="2" t="s">
        <v>271</v>
      </c>
      <c r="AA173" s="2" t="s">
        <v>944</v>
      </c>
    </row>
    <row r="174" spans="1:27" ht="43.5">
      <c r="U174" s="102" t="s">
        <v>110</v>
      </c>
      <c r="V174" s="2" t="s">
        <v>110</v>
      </c>
      <c r="W174" s="2"/>
      <c r="Y174" s="103" t="s">
        <v>493</v>
      </c>
      <c r="Z174" s="2" t="s">
        <v>271</v>
      </c>
      <c r="AA174" s="2" t="s">
        <v>945</v>
      </c>
    </row>
    <row r="175" spans="1:27" ht="29.25">
      <c r="U175" s="103" t="s">
        <v>430</v>
      </c>
      <c r="V175" s="2" t="s">
        <v>110</v>
      </c>
      <c r="W175" s="2" t="s">
        <v>946</v>
      </c>
      <c r="Y175" s="102" t="s">
        <v>947</v>
      </c>
      <c r="Z175" s="2" t="s">
        <v>947</v>
      </c>
      <c r="AA175" s="2"/>
    </row>
    <row r="176" spans="1:27" ht="29.25">
      <c r="U176" s="103" t="s">
        <v>472</v>
      </c>
      <c r="V176" s="2" t="s">
        <v>110</v>
      </c>
      <c r="W176" s="2" t="s">
        <v>948</v>
      </c>
      <c r="Y176" s="103" t="s">
        <v>583</v>
      </c>
      <c r="Z176" s="2" t="s">
        <v>947</v>
      </c>
      <c r="AA176" s="2" t="s">
        <v>949</v>
      </c>
    </row>
    <row r="177" spans="21:27" ht="29.25">
      <c r="U177" s="103" t="s">
        <v>514</v>
      </c>
      <c r="V177" s="2" t="s">
        <v>110</v>
      </c>
      <c r="W177" s="2" t="s">
        <v>950</v>
      </c>
      <c r="Y177" s="103" t="s">
        <v>567</v>
      </c>
      <c r="Z177" s="2" t="s">
        <v>947</v>
      </c>
      <c r="AA177" s="2" t="s">
        <v>951</v>
      </c>
    </row>
    <row r="178" spans="21:27" ht="29.25">
      <c r="U178" s="102" t="s">
        <v>594</v>
      </c>
      <c r="V178" s="2" t="s">
        <v>594</v>
      </c>
      <c r="W178" s="2"/>
      <c r="Y178" s="103" t="s">
        <v>547</v>
      </c>
      <c r="Z178" s="2" t="s">
        <v>947</v>
      </c>
      <c r="AA178" s="2" t="s">
        <v>952</v>
      </c>
    </row>
    <row r="179" spans="21:27" ht="29.25">
      <c r="U179" s="103" t="s">
        <v>593</v>
      </c>
      <c r="V179" s="2" t="s">
        <v>594</v>
      </c>
      <c r="W179" s="2" t="s">
        <v>953</v>
      </c>
      <c r="Y179" s="103" t="s">
        <v>590</v>
      </c>
      <c r="Z179" s="2" t="s">
        <v>947</v>
      </c>
      <c r="AA179" s="2" t="s">
        <v>954</v>
      </c>
    </row>
    <row r="180" spans="21:27" ht="29.25">
      <c r="U180" s="103" t="s">
        <v>600</v>
      </c>
      <c r="V180" s="2" t="s">
        <v>594</v>
      </c>
      <c r="W180" s="2" t="s">
        <v>955</v>
      </c>
      <c r="Y180" s="103" t="s">
        <v>596</v>
      </c>
      <c r="Z180" s="2" t="s">
        <v>947</v>
      </c>
      <c r="AA180" s="2" t="s">
        <v>956</v>
      </c>
    </row>
    <row r="181" spans="21:27" ht="29.25">
      <c r="U181" s="103" t="s">
        <v>597</v>
      </c>
      <c r="V181" s="2" t="s">
        <v>594</v>
      </c>
      <c r="W181" s="2" t="s">
        <v>957</v>
      </c>
      <c r="Y181" s="103" t="s">
        <v>599</v>
      </c>
      <c r="Z181" s="2" t="s">
        <v>947</v>
      </c>
      <c r="AA181" s="2" t="s">
        <v>958</v>
      </c>
    </row>
    <row r="182" spans="21:27" ht="29.25">
      <c r="U182" s="102" t="s">
        <v>135</v>
      </c>
      <c r="V182" s="2" t="s">
        <v>135</v>
      </c>
      <c r="W182" s="2"/>
      <c r="Y182" s="103" t="s">
        <v>524</v>
      </c>
      <c r="Z182" s="2" t="s">
        <v>947</v>
      </c>
      <c r="AA182" s="2" t="s">
        <v>959</v>
      </c>
    </row>
    <row r="183" spans="21:27" ht="29.25">
      <c r="U183" s="103" t="s">
        <v>478</v>
      </c>
      <c r="V183" s="2" t="s">
        <v>135</v>
      </c>
      <c r="W183" s="2" t="s">
        <v>960</v>
      </c>
      <c r="Y183" s="103" t="s">
        <v>488</v>
      </c>
      <c r="Z183" s="2" t="s">
        <v>947</v>
      </c>
      <c r="AA183" s="2" t="s">
        <v>961</v>
      </c>
    </row>
    <row r="184" spans="21:27" ht="29.25">
      <c r="U184" s="103" t="s">
        <v>436</v>
      </c>
      <c r="V184" s="2" t="s">
        <v>135</v>
      </c>
      <c r="W184" s="2" t="s">
        <v>962</v>
      </c>
      <c r="Y184" s="103" t="s">
        <v>447</v>
      </c>
      <c r="Z184" s="2" t="s">
        <v>947</v>
      </c>
      <c r="AA184" s="2" t="s">
        <v>963</v>
      </c>
    </row>
    <row r="185" spans="21:27" ht="29.25">
      <c r="U185" s="103" t="s">
        <v>518</v>
      </c>
      <c r="V185" s="2" t="s">
        <v>135</v>
      </c>
      <c r="W185" s="2" t="s">
        <v>964</v>
      </c>
      <c r="Y185" s="102" t="s">
        <v>965</v>
      </c>
      <c r="Z185" s="2" t="s">
        <v>965</v>
      </c>
      <c r="AA185" s="2"/>
    </row>
    <row r="186" spans="21:27" ht="29.25">
      <c r="U186" s="103" t="s">
        <v>542</v>
      </c>
      <c r="V186" s="2" t="s">
        <v>135</v>
      </c>
      <c r="W186" s="2" t="s">
        <v>966</v>
      </c>
      <c r="Y186" s="103" t="s">
        <v>568</v>
      </c>
      <c r="Z186" s="2" t="s">
        <v>965</v>
      </c>
      <c r="AA186" s="2" t="s">
        <v>967</v>
      </c>
    </row>
    <row r="187" spans="21:27" ht="29.25">
      <c r="U187" s="102" t="s">
        <v>148</v>
      </c>
      <c r="V187" s="2" t="s">
        <v>148</v>
      </c>
      <c r="W187" s="2"/>
      <c r="Y187" s="103" t="s">
        <v>526</v>
      </c>
      <c r="Z187" s="2" t="s">
        <v>965</v>
      </c>
      <c r="AA187" s="2" t="s">
        <v>968</v>
      </c>
    </row>
    <row r="188" spans="21:27" ht="29.25">
      <c r="U188" s="104" t="s">
        <v>481</v>
      </c>
      <c r="V188" s="2" t="s">
        <v>148</v>
      </c>
      <c r="W188" s="2" t="s">
        <v>969</v>
      </c>
      <c r="Y188" s="103" t="s">
        <v>449</v>
      </c>
      <c r="Z188" s="2" t="s">
        <v>965</v>
      </c>
      <c r="AA188" s="2" t="s">
        <v>970</v>
      </c>
    </row>
    <row r="189" spans="21:27" ht="29.25">
      <c r="U189" s="105"/>
      <c r="V189" s="2" t="s">
        <v>148</v>
      </c>
      <c r="W189" s="2"/>
      <c r="Y189" s="103" t="s">
        <v>549</v>
      </c>
      <c r="Z189" s="2" t="s">
        <v>965</v>
      </c>
      <c r="AA189" s="2" t="s">
        <v>971</v>
      </c>
    </row>
    <row r="190" spans="21:27" ht="29.25">
      <c r="U190" s="103" t="s">
        <v>438</v>
      </c>
      <c r="V190" s="2" t="s">
        <v>148</v>
      </c>
      <c r="W190" s="2" t="s">
        <v>972</v>
      </c>
      <c r="Y190" s="103" t="s">
        <v>491</v>
      </c>
      <c r="Z190" s="2" t="s">
        <v>965</v>
      </c>
      <c r="AA190" s="2" t="s">
        <v>973</v>
      </c>
    </row>
    <row r="191" spans="21:27" ht="29.25">
      <c r="U191" s="102" t="s">
        <v>974</v>
      </c>
      <c r="V191" s="2" t="s">
        <v>974</v>
      </c>
      <c r="W191" s="2"/>
      <c r="Y191" s="102" t="s">
        <v>196</v>
      </c>
      <c r="Z191" s="2" t="s">
        <v>196</v>
      </c>
      <c r="AA191" s="2"/>
    </row>
    <row r="192" spans="21:27" ht="29.25">
      <c r="U192" s="103" t="s">
        <v>429</v>
      </c>
      <c r="V192" s="2" t="s">
        <v>974</v>
      </c>
      <c r="W192" s="2" t="s">
        <v>975</v>
      </c>
      <c r="Y192" s="103" t="s">
        <v>485</v>
      </c>
      <c r="Z192" s="2" t="s">
        <v>196</v>
      </c>
      <c r="AA192" s="2" t="s">
        <v>976</v>
      </c>
    </row>
    <row r="193" spans="21:27" ht="29.25">
      <c r="U193" s="103" t="s">
        <v>471</v>
      </c>
      <c r="V193" s="2" t="s">
        <v>974</v>
      </c>
      <c r="W193" s="2" t="s">
        <v>977</v>
      </c>
      <c r="Y193" s="103" t="s">
        <v>444</v>
      </c>
      <c r="Z193" s="2" t="s">
        <v>196</v>
      </c>
      <c r="AA193" s="2" t="s">
        <v>978</v>
      </c>
    </row>
    <row r="194" spans="21:27" ht="29.25">
      <c r="U194" s="103" t="s">
        <v>514</v>
      </c>
      <c r="V194" s="2" t="s">
        <v>974</v>
      </c>
      <c r="W194" s="2" t="s">
        <v>979</v>
      </c>
      <c r="Y194" s="103" t="s">
        <v>522</v>
      </c>
      <c r="Z194" s="2" t="s">
        <v>196</v>
      </c>
      <c r="AA194" s="2" t="s">
        <v>980</v>
      </c>
    </row>
    <row r="195" spans="21:27" ht="29.25">
      <c r="U195" s="102" t="s">
        <v>677</v>
      </c>
      <c r="V195" s="2" t="s">
        <v>677</v>
      </c>
      <c r="W195" s="2" t="s">
        <v>981</v>
      </c>
      <c r="Y195" s="103" t="s">
        <v>545</v>
      </c>
      <c r="Z195" s="2" t="s">
        <v>196</v>
      </c>
      <c r="AA195" s="2" t="s">
        <v>982</v>
      </c>
    </row>
    <row r="196" spans="21:27" ht="29.25">
      <c r="U196" s="103" t="s">
        <v>684</v>
      </c>
      <c r="V196" s="2" t="s">
        <v>677</v>
      </c>
      <c r="W196" s="2" t="s">
        <v>983</v>
      </c>
      <c r="Y196" s="103" t="s">
        <v>581</v>
      </c>
      <c r="Z196" s="2" t="s">
        <v>196</v>
      </c>
      <c r="AA196" s="2" t="s">
        <v>984</v>
      </c>
    </row>
    <row r="197" spans="21:27" ht="29.25">
      <c r="U197" s="103" t="s">
        <v>681</v>
      </c>
      <c r="V197" s="2" t="s">
        <v>677</v>
      </c>
      <c r="W197" s="2" t="s">
        <v>985</v>
      </c>
      <c r="Y197" s="103" t="s">
        <v>565</v>
      </c>
      <c r="Z197" s="2" t="s">
        <v>196</v>
      </c>
      <c r="AA197" s="2" t="s">
        <v>986</v>
      </c>
    </row>
    <row r="198" spans="21:27" ht="29.25">
      <c r="U198" s="103" t="s">
        <v>676</v>
      </c>
      <c r="V198" s="2" t="s">
        <v>677</v>
      </c>
      <c r="W198" s="2" t="s">
        <v>987</v>
      </c>
      <c r="Y198" s="102" t="s">
        <v>988</v>
      </c>
      <c r="Z198" s="2" t="s">
        <v>988</v>
      </c>
      <c r="AA198" s="2"/>
    </row>
    <row r="199" spans="21:27" ht="29.25">
      <c r="U199" s="102" t="s">
        <v>48</v>
      </c>
      <c r="V199" s="2" t="s">
        <v>48</v>
      </c>
      <c r="W199" s="2"/>
      <c r="Y199" s="103" t="s">
        <v>448</v>
      </c>
      <c r="Z199" s="2" t="s">
        <v>988</v>
      </c>
      <c r="AA199" s="2" t="s">
        <v>989</v>
      </c>
    </row>
    <row r="200" spans="21:27" ht="29.25">
      <c r="U200" s="103" t="s">
        <v>465</v>
      </c>
      <c r="V200" s="2" t="s">
        <v>48</v>
      </c>
      <c r="W200" s="2" t="s">
        <v>990</v>
      </c>
      <c r="Y200" s="103" t="s">
        <v>490</v>
      </c>
      <c r="Z200" s="2" t="s">
        <v>988</v>
      </c>
      <c r="AA200" s="2" t="s">
        <v>991</v>
      </c>
    </row>
    <row r="201" spans="21:27">
      <c r="U201" s="103" t="s">
        <v>423</v>
      </c>
      <c r="V201" s="2" t="s">
        <v>48</v>
      </c>
      <c r="W201" s="2" t="s">
        <v>992</v>
      </c>
      <c r="Y201" s="102" t="s">
        <v>412</v>
      </c>
      <c r="Z201" s="2" t="s">
        <v>412</v>
      </c>
      <c r="AA201" s="2"/>
    </row>
    <row r="202" spans="21:27">
      <c r="U202" s="102" t="s">
        <v>606</v>
      </c>
      <c r="V202" s="2" t="s">
        <v>750</v>
      </c>
      <c r="W202" s="2"/>
      <c r="Y202" s="103" t="s">
        <v>446</v>
      </c>
      <c r="Z202" s="2" t="s">
        <v>412</v>
      </c>
      <c r="AA202" s="2" t="s">
        <v>993</v>
      </c>
    </row>
    <row r="203" spans="21:27">
      <c r="U203" s="103" t="s">
        <v>605</v>
      </c>
      <c r="V203" s="2" t="s">
        <v>606</v>
      </c>
      <c r="W203" s="2" t="s">
        <v>994</v>
      </c>
      <c r="Y203" s="103" t="s">
        <v>487</v>
      </c>
      <c r="Z203" s="2" t="s">
        <v>412</v>
      </c>
      <c r="AA203" s="2" t="s">
        <v>995</v>
      </c>
    </row>
    <row r="204" spans="21:27">
      <c r="U204" s="103" t="s">
        <v>608</v>
      </c>
      <c r="V204" s="2" t="s">
        <v>606</v>
      </c>
      <c r="W204" s="2" t="s">
        <v>996</v>
      </c>
      <c r="Y204" s="102" t="s">
        <v>997</v>
      </c>
      <c r="Z204" s="2" t="s">
        <v>997</v>
      </c>
      <c r="AA204" s="2"/>
    </row>
    <row r="205" spans="21:27">
      <c r="U205" s="103" t="s">
        <v>610</v>
      </c>
      <c r="V205" s="2" t="s">
        <v>606</v>
      </c>
      <c r="W205" s="2" t="s">
        <v>998</v>
      </c>
      <c r="Y205" s="103" t="s">
        <v>452</v>
      </c>
      <c r="Z205" s="2" t="s">
        <v>997</v>
      </c>
      <c r="AA205" s="2" t="s">
        <v>999</v>
      </c>
    </row>
    <row r="206" spans="21:27">
      <c r="U206" s="102" t="s">
        <v>1000</v>
      </c>
      <c r="V206" s="2" t="s">
        <v>1000</v>
      </c>
      <c r="W206" s="2"/>
      <c r="Y206" s="103" t="s">
        <v>494</v>
      </c>
      <c r="Z206" s="2" t="s">
        <v>997</v>
      </c>
      <c r="AA206" s="2" t="s">
        <v>1001</v>
      </c>
    </row>
    <row r="207" spans="21:27">
      <c r="U207" s="103" t="s">
        <v>602</v>
      </c>
      <c r="V207" s="2" t="s">
        <v>1000</v>
      </c>
      <c r="W207" s="2" t="s">
        <v>1002</v>
      </c>
      <c r="Y207" s="103" t="s">
        <v>528</v>
      </c>
      <c r="Z207" s="2" t="s">
        <v>997</v>
      </c>
      <c r="AA207" s="2" t="s">
        <v>1003</v>
      </c>
    </row>
    <row r="208" spans="21:27">
      <c r="U208" s="103" t="s">
        <v>660</v>
      </c>
      <c r="V208" s="2" t="s">
        <v>1000</v>
      </c>
      <c r="W208" s="2" t="s">
        <v>981</v>
      </c>
      <c r="Y208" s="103" t="s">
        <v>551</v>
      </c>
      <c r="Z208" s="2" t="s">
        <v>997</v>
      </c>
      <c r="AA208" s="2" t="s">
        <v>1004</v>
      </c>
    </row>
    <row r="209" spans="21:27">
      <c r="U209" s="103" t="s">
        <v>688</v>
      </c>
      <c r="V209" s="2" t="s">
        <v>1000</v>
      </c>
      <c r="W209" s="2" t="s">
        <v>1005</v>
      </c>
      <c r="Y209" s="103" t="s">
        <v>570</v>
      </c>
      <c r="Z209" s="2" t="s">
        <v>997</v>
      </c>
      <c r="AA209" s="2" t="s">
        <v>1006</v>
      </c>
    </row>
    <row r="210" spans="21:27" ht="27">
      <c r="U210" s="103" t="s">
        <v>677</v>
      </c>
      <c r="V210" s="2" t="s">
        <v>1000</v>
      </c>
      <c r="W210" s="2" t="s">
        <v>981</v>
      </c>
      <c r="Y210" s="103" t="s">
        <v>584</v>
      </c>
      <c r="Z210" s="2" t="s">
        <v>997</v>
      </c>
      <c r="AA210" s="2" t="s">
        <v>1007</v>
      </c>
    </row>
    <row r="211" spans="21:27">
      <c r="U211" s="103" t="s">
        <v>621</v>
      </c>
      <c r="V211" s="2" t="s">
        <v>1000</v>
      </c>
      <c r="W211" s="2" t="s">
        <v>1008</v>
      </c>
      <c r="Y211" s="103" t="s">
        <v>591</v>
      </c>
      <c r="Z211" s="2" t="s">
        <v>997</v>
      </c>
      <c r="AA211" s="2" t="s">
        <v>1009</v>
      </c>
    </row>
    <row r="212" spans="21:27">
      <c r="U212" s="103" t="s">
        <v>641</v>
      </c>
      <c r="V212" s="2" t="s">
        <v>1000</v>
      </c>
      <c r="W212" s="2" t="s">
        <v>1010</v>
      </c>
      <c r="Z212" s="2"/>
    </row>
    <row r="213" spans="21:27">
      <c r="U213" s="103" t="s">
        <v>443</v>
      </c>
      <c r="V213" s="2" t="s">
        <v>1000</v>
      </c>
      <c r="W213" s="2" t="s">
        <v>1011</v>
      </c>
      <c r="Z213" s="2"/>
    </row>
    <row r="214" spans="21:27">
      <c r="U214" s="103" t="s">
        <v>589</v>
      </c>
      <c r="V214" s="2" t="s">
        <v>1000</v>
      </c>
      <c r="W214" s="2" t="s">
        <v>1012</v>
      </c>
      <c r="Z214" s="2"/>
    </row>
    <row r="215" spans="21:27">
      <c r="U215" s="103" t="s">
        <v>613</v>
      </c>
      <c r="V215" s="2" t="s">
        <v>1000</v>
      </c>
      <c r="W215" s="2" t="s">
        <v>1013</v>
      </c>
      <c r="Z215" s="2"/>
    </row>
    <row r="216" spans="21:27">
      <c r="U216" s="103" t="s">
        <v>564</v>
      </c>
      <c r="V216" s="2" t="s">
        <v>1000</v>
      </c>
      <c r="W216" s="2" t="s">
        <v>1014</v>
      </c>
      <c r="Z216" s="2"/>
    </row>
    <row r="217" spans="21:27">
      <c r="U217" s="102" t="s">
        <v>602</v>
      </c>
      <c r="V217" s="2" t="s">
        <v>602</v>
      </c>
      <c r="W217" s="2"/>
      <c r="Z217" s="2"/>
    </row>
    <row r="218" spans="21:27">
      <c r="U218" s="103" t="s">
        <v>609</v>
      </c>
      <c r="V218" s="2" t="s">
        <v>602</v>
      </c>
      <c r="W218" s="2" t="s">
        <v>1015</v>
      </c>
      <c r="Z218" s="2"/>
    </row>
    <row r="219" spans="21:27">
      <c r="U219" s="103" t="s">
        <v>611</v>
      </c>
      <c r="V219" s="2" t="s">
        <v>602</v>
      </c>
      <c r="W219" s="2" t="s">
        <v>1016</v>
      </c>
      <c r="Z219" s="2"/>
    </row>
    <row r="220" spans="21:27">
      <c r="U220" s="103" t="s">
        <v>601</v>
      </c>
      <c r="V220" s="2" t="s">
        <v>602</v>
      </c>
      <c r="W220" s="2" t="s">
        <v>1017</v>
      </c>
      <c r="Z220" s="2"/>
    </row>
    <row r="221" spans="21:27">
      <c r="U221" s="103" t="s">
        <v>604</v>
      </c>
      <c r="V221" s="2" t="s">
        <v>602</v>
      </c>
      <c r="W221" s="2" t="s">
        <v>1018</v>
      </c>
    </row>
    <row r="222" spans="21:27">
      <c r="U222" s="103" t="s">
        <v>607</v>
      </c>
      <c r="V222" s="2" t="s">
        <v>602</v>
      </c>
      <c r="W222" s="2" t="s">
        <v>1019</v>
      </c>
    </row>
    <row r="223" spans="21:27">
      <c r="U223" s="102"/>
      <c r="V223" s="2" t="s">
        <v>562</v>
      </c>
      <c r="W223" s="2"/>
    </row>
    <row r="224" spans="21:27">
      <c r="U224" s="103" t="s">
        <v>562</v>
      </c>
      <c r="V224" s="2" t="s">
        <v>562</v>
      </c>
      <c r="W224" s="2" t="s">
        <v>1020</v>
      </c>
    </row>
    <row r="225" spans="21:23">
      <c r="U225" s="102" t="s">
        <v>579</v>
      </c>
      <c r="V225" s="2" t="s">
        <v>579</v>
      </c>
      <c r="W225" s="2"/>
    </row>
    <row r="226" spans="21:23">
      <c r="U226" s="103" t="s">
        <v>578</v>
      </c>
      <c r="V226" s="2" t="s">
        <v>579</v>
      </c>
      <c r="W226" s="2" t="s">
        <v>1021</v>
      </c>
    </row>
    <row r="227" spans="21:23">
      <c r="U227" s="103" t="s">
        <v>587</v>
      </c>
      <c r="V227" s="2" t="s">
        <v>579</v>
      </c>
      <c r="W227" s="2" t="s">
        <v>1022</v>
      </c>
    </row>
    <row r="228" spans="21:23">
      <c r="U228" s="102" t="s">
        <v>114</v>
      </c>
      <c r="V228" s="2" t="s">
        <v>114</v>
      </c>
      <c r="W228" s="2"/>
    </row>
    <row r="229" spans="21:23">
      <c r="U229" s="103" t="s">
        <v>431</v>
      </c>
      <c r="V229" s="2" t="s">
        <v>114</v>
      </c>
      <c r="W229" s="2" t="s">
        <v>1023</v>
      </c>
    </row>
    <row r="230" spans="21:23">
      <c r="U230" s="103" t="s">
        <v>515</v>
      </c>
      <c r="V230" s="2" t="s">
        <v>114</v>
      </c>
      <c r="W230" s="2" t="s">
        <v>1024</v>
      </c>
    </row>
    <row r="231" spans="21:23">
      <c r="U231" s="103" t="s">
        <v>473</v>
      </c>
      <c r="V231" s="2" t="s">
        <v>114</v>
      </c>
      <c r="W231" s="2" t="s">
        <v>1025</v>
      </c>
    </row>
    <row r="232" spans="21:23">
      <c r="U232" s="103" t="s">
        <v>540</v>
      </c>
      <c r="V232" s="2" t="s">
        <v>114</v>
      </c>
      <c r="W232" s="2" t="s">
        <v>1026</v>
      </c>
    </row>
    <row r="233" spans="21:23">
      <c r="U233" s="102" t="s">
        <v>621</v>
      </c>
      <c r="V233" s="2" t="s">
        <v>621</v>
      </c>
      <c r="W233" s="2"/>
    </row>
    <row r="234" spans="21:23">
      <c r="U234" s="103" t="s">
        <v>631</v>
      </c>
      <c r="V234" s="2" t="s">
        <v>621</v>
      </c>
      <c r="W234" s="2" t="s">
        <v>1027</v>
      </c>
    </row>
    <row r="235" spans="21:23">
      <c r="U235" s="103" t="s">
        <v>636</v>
      </c>
      <c r="V235" s="2" t="s">
        <v>621</v>
      </c>
      <c r="W235" s="2" t="s">
        <v>1028</v>
      </c>
    </row>
    <row r="236" spans="21:23">
      <c r="U236" s="103" t="s">
        <v>620</v>
      </c>
      <c r="V236" s="2" t="s">
        <v>621</v>
      </c>
      <c r="W236" s="2" t="s">
        <v>1029</v>
      </c>
    </row>
    <row r="237" spans="21:23" ht="29.25">
      <c r="U237" s="102" t="s">
        <v>124</v>
      </c>
      <c r="V237" s="2" t="s">
        <v>124</v>
      </c>
      <c r="W237" s="2"/>
    </row>
    <row r="238" spans="21:23" ht="29.25">
      <c r="U238" s="103" t="s">
        <v>477</v>
      </c>
      <c r="V238" s="2" t="s">
        <v>124</v>
      </c>
      <c r="W238" s="2" t="s">
        <v>1030</v>
      </c>
    </row>
    <row r="239" spans="21:23" ht="29.25">
      <c r="U239" s="103" t="s">
        <v>435</v>
      </c>
      <c r="V239" s="2" t="s">
        <v>124</v>
      </c>
      <c r="W239" s="2" t="s">
        <v>1031</v>
      </c>
    </row>
    <row r="240" spans="21:23">
      <c r="U240" s="102" t="s">
        <v>1032</v>
      </c>
      <c r="V240" s="2" t="s">
        <v>1032</v>
      </c>
      <c r="W240" s="2"/>
    </row>
    <row r="241" spans="21:23">
      <c r="U241" s="103" t="s">
        <v>480</v>
      </c>
      <c r="V241" s="2" t="s">
        <v>1032</v>
      </c>
      <c r="W241" s="2" t="s">
        <v>1033</v>
      </c>
    </row>
    <row r="242" spans="21:23">
      <c r="U242" s="103" t="s">
        <v>144</v>
      </c>
      <c r="V242" s="2" t="s">
        <v>1032</v>
      </c>
      <c r="W242" s="2" t="s">
        <v>1034</v>
      </c>
    </row>
    <row r="243" spans="21:23">
      <c r="U243" s="103" t="s">
        <v>432</v>
      </c>
      <c r="V243" s="2" t="s">
        <v>1032</v>
      </c>
      <c r="W243" s="2" t="s">
        <v>921</v>
      </c>
    </row>
    <row r="244" spans="21:23">
      <c r="U244" s="102" t="s">
        <v>77</v>
      </c>
      <c r="V244" s="2" t="s">
        <v>77</v>
      </c>
      <c r="W244" s="2"/>
    </row>
    <row r="245" spans="21:23">
      <c r="U245" s="103" t="s">
        <v>426</v>
      </c>
      <c r="V245" s="2" t="s">
        <v>77</v>
      </c>
      <c r="W245" s="2" t="s">
        <v>1035</v>
      </c>
    </row>
    <row r="246" spans="21:23">
      <c r="U246" s="103" t="s">
        <v>468</v>
      </c>
      <c r="V246" s="2" t="s">
        <v>77</v>
      </c>
      <c r="W246" s="2" t="s">
        <v>1036</v>
      </c>
    </row>
    <row r="247" spans="21:23">
      <c r="U247" s="103" t="s">
        <v>511</v>
      </c>
      <c r="V247" s="2" t="s">
        <v>77</v>
      </c>
      <c r="W247" s="2" t="s">
        <v>1037</v>
      </c>
    </row>
    <row r="248" spans="21:23">
      <c r="U248" s="103" t="s">
        <v>538</v>
      </c>
      <c r="V248" s="2" t="s">
        <v>77</v>
      </c>
      <c r="W248" s="2" t="s">
        <v>1038</v>
      </c>
    </row>
    <row r="249" spans="21:23">
      <c r="U249" s="103" t="s">
        <v>560</v>
      </c>
      <c r="V249" s="2" t="s">
        <v>77</v>
      </c>
      <c r="W249" s="2" t="s">
        <v>1039</v>
      </c>
    </row>
    <row r="250" spans="21:23">
      <c r="U250" s="103" t="s">
        <v>577</v>
      </c>
      <c r="V250" s="2" t="s">
        <v>77</v>
      </c>
      <c r="W250" s="2" t="s">
        <v>1040</v>
      </c>
    </row>
    <row r="251" spans="21:23">
      <c r="U251" s="102" t="s">
        <v>79</v>
      </c>
      <c r="V251" s="2" t="s">
        <v>79</v>
      </c>
      <c r="W251" s="2"/>
    </row>
    <row r="252" spans="21:23">
      <c r="U252" s="103" t="s">
        <v>512</v>
      </c>
      <c r="V252" s="2" t="s">
        <v>79</v>
      </c>
      <c r="W252" s="2" t="s">
        <v>1041</v>
      </c>
    </row>
    <row r="253" spans="21:23">
      <c r="U253" s="103" t="s">
        <v>427</v>
      </c>
      <c r="V253" s="2" t="s">
        <v>79</v>
      </c>
      <c r="W253" s="2" t="s">
        <v>1042</v>
      </c>
    </row>
    <row r="254" spans="21:23">
      <c r="U254" s="103" t="s">
        <v>539</v>
      </c>
      <c r="V254" s="2" t="s">
        <v>79</v>
      </c>
      <c r="W254" s="2" t="s">
        <v>1043</v>
      </c>
    </row>
    <row r="255" spans="21:23">
      <c r="U255" s="103" t="s">
        <v>469</v>
      </c>
      <c r="V255" s="2" t="s">
        <v>79</v>
      </c>
      <c r="W255" s="2" t="s">
        <v>1044</v>
      </c>
    </row>
    <row r="256" spans="21:23">
      <c r="U256" s="102" t="s">
        <v>89</v>
      </c>
      <c r="V256" s="2" t="s">
        <v>89</v>
      </c>
      <c r="W256" s="2"/>
    </row>
    <row r="257" spans="21:23">
      <c r="U257" s="103" t="s">
        <v>470</v>
      </c>
      <c r="V257" s="2" t="s">
        <v>89</v>
      </c>
      <c r="W257" s="2" t="s">
        <v>1045</v>
      </c>
    </row>
    <row r="258" spans="21:23">
      <c r="U258" s="103" t="s">
        <v>428</v>
      </c>
      <c r="V258" s="2" t="s">
        <v>89</v>
      </c>
      <c r="W258" s="2" t="s">
        <v>1046</v>
      </c>
    </row>
    <row r="259" spans="21:23">
      <c r="U259" s="102" t="s">
        <v>73</v>
      </c>
      <c r="V259" s="2" t="s">
        <v>73</v>
      </c>
      <c r="W259" s="2"/>
    </row>
    <row r="260" spans="21:23">
      <c r="U260" s="103" t="s">
        <v>592</v>
      </c>
      <c r="V260" s="2" t="s">
        <v>73</v>
      </c>
      <c r="W260" s="2" t="s">
        <v>1047</v>
      </c>
    </row>
    <row r="261" spans="21:23">
      <c r="U261" s="103" t="s">
        <v>559</v>
      </c>
      <c r="V261" s="2" t="s">
        <v>73</v>
      </c>
      <c r="W261" s="2" t="s">
        <v>1048</v>
      </c>
    </row>
    <row r="262" spans="21:23">
      <c r="U262" s="103" t="s">
        <v>586</v>
      </c>
      <c r="V262" s="2" t="s">
        <v>73</v>
      </c>
      <c r="W262" s="2" t="s">
        <v>1049</v>
      </c>
    </row>
    <row r="263" spans="21:23">
      <c r="U263" s="103" t="s">
        <v>576</v>
      </c>
      <c r="V263" s="2" t="s">
        <v>73</v>
      </c>
      <c r="W263" s="2" t="s">
        <v>1050</v>
      </c>
    </row>
    <row r="264" spans="21:23" ht="27">
      <c r="U264" s="103" t="s">
        <v>537</v>
      </c>
      <c r="V264" s="2" t="s">
        <v>73</v>
      </c>
      <c r="W264" s="2" t="s">
        <v>1051</v>
      </c>
    </row>
    <row r="265" spans="21:23">
      <c r="U265" s="103" t="s">
        <v>467</v>
      </c>
      <c r="V265" s="2" t="s">
        <v>73</v>
      </c>
      <c r="W265" s="2" t="s">
        <v>1052</v>
      </c>
    </row>
    <row r="266" spans="21:23">
      <c r="U266" s="103" t="s">
        <v>1053</v>
      </c>
      <c r="V266" s="2" t="s">
        <v>73</v>
      </c>
      <c r="W266" s="2" t="s">
        <v>1054</v>
      </c>
    </row>
    <row r="267" spans="21:23">
      <c r="U267" s="103" t="s">
        <v>425</v>
      </c>
      <c r="V267" s="2" t="s">
        <v>73</v>
      </c>
      <c r="W267" s="2" t="s">
        <v>1055</v>
      </c>
    </row>
    <row r="268" spans="21:23">
      <c r="U268" s="102" t="s">
        <v>660</v>
      </c>
      <c r="V268" s="2" t="s">
        <v>660</v>
      </c>
      <c r="W268" s="2"/>
    </row>
    <row r="269" spans="21:23">
      <c r="U269" s="103" t="s">
        <v>664</v>
      </c>
      <c r="V269" s="2" t="s">
        <v>660</v>
      </c>
      <c r="W269" s="2" t="s">
        <v>1056</v>
      </c>
    </row>
    <row r="270" spans="21:23">
      <c r="U270" s="103" t="s">
        <v>668</v>
      </c>
      <c r="V270" s="2" t="s">
        <v>660</v>
      </c>
      <c r="W270" s="2" t="s">
        <v>1057</v>
      </c>
    </row>
    <row r="271" spans="21:23">
      <c r="U271" s="103" t="s">
        <v>659</v>
      </c>
      <c r="V271" s="2" t="s">
        <v>660</v>
      </c>
      <c r="W271" s="2" t="s">
        <v>1058</v>
      </c>
    </row>
    <row r="272" spans="21:23">
      <c r="U272" s="103" t="s">
        <v>153</v>
      </c>
      <c r="V272" s="2" t="s">
        <v>660</v>
      </c>
      <c r="W272" s="2" t="s">
        <v>1059</v>
      </c>
    </row>
    <row r="273" spans="21:23">
      <c r="U273" s="103" t="s">
        <v>673</v>
      </c>
      <c r="V273" s="2" t="s">
        <v>660</v>
      </c>
      <c r="W273" s="2" t="s">
        <v>1060</v>
      </c>
    </row>
    <row r="274" spans="21:23">
      <c r="U274" s="102"/>
      <c r="V274" s="2" t="s">
        <v>543</v>
      </c>
      <c r="W274" s="2"/>
    </row>
    <row r="275" spans="21:23">
      <c r="U275" s="103" t="s">
        <v>543</v>
      </c>
      <c r="V275" s="2" t="s">
        <v>543</v>
      </c>
      <c r="W275" s="2" t="s">
        <v>1061</v>
      </c>
    </row>
    <row r="276" spans="21:23" ht="29.25">
      <c r="U276" s="102" t="s">
        <v>641</v>
      </c>
      <c r="V276" s="2" t="s">
        <v>641</v>
      </c>
      <c r="W276" s="2"/>
    </row>
    <row r="277" spans="21:23" ht="29.25">
      <c r="U277" s="103" t="s">
        <v>651</v>
      </c>
      <c r="V277" s="2" t="s">
        <v>641</v>
      </c>
      <c r="W277" s="2" t="s">
        <v>1062</v>
      </c>
    </row>
    <row r="278" spans="21:23" ht="29.25">
      <c r="U278" s="103" t="s">
        <v>656</v>
      </c>
      <c r="V278" s="2" t="s">
        <v>641</v>
      </c>
      <c r="W278" s="2" t="s">
        <v>1063</v>
      </c>
    </row>
    <row r="279" spans="21:23" ht="29.25">
      <c r="U279" s="103" t="s">
        <v>640</v>
      </c>
      <c r="V279" s="2" t="s">
        <v>641</v>
      </c>
      <c r="W279" s="2" t="s">
        <v>1064</v>
      </c>
    </row>
    <row r="280" spans="21:23" ht="29.25">
      <c r="U280" s="103" t="s">
        <v>646</v>
      </c>
      <c r="V280" s="2" t="s">
        <v>641</v>
      </c>
      <c r="W280" s="2" t="s">
        <v>1065</v>
      </c>
    </row>
    <row r="281" spans="21:23">
      <c r="U281" s="102" t="s">
        <v>443</v>
      </c>
      <c r="V281" s="2" t="s">
        <v>443</v>
      </c>
      <c r="W281" s="2"/>
    </row>
    <row r="282" spans="21:23">
      <c r="U282" s="103" t="s">
        <v>544</v>
      </c>
      <c r="V282" s="2" t="s">
        <v>443</v>
      </c>
      <c r="W282" s="2" t="s">
        <v>1066</v>
      </c>
    </row>
    <row r="283" spans="21:23">
      <c r="U283" s="103" t="s">
        <v>442</v>
      </c>
      <c r="V283" s="2" t="s">
        <v>443</v>
      </c>
      <c r="W283" s="2" t="s">
        <v>1067</v>
      </c>
    </row>
    <row r="284" spans="21:23">
      <c r="U284" s="103" t="s">
        <v>521</v>
      </c>
      <c r="V284" s="2" t="s">
        <v>443</v>
      </c>
      <c r="W284" s="2" t="s">
        <v>1068</v>
      </c>
    </row>
    <row r="285" spans="21:23">
      <c r="U285" s="103" t="s">
        <v>484</v>
      </c>
      <c r="V285" s="2" t="s">
        <v>443</v>
      </c>
      <c r="W285" s="2" t="s">
        <v>1069</v>
      </c>
    </row>
    <row r="286" spans="21:23">
      <c r="U286" s="102" t="s">
        <v>1070</v>
      </c>
      <c r="V286" s="2" t="s">
        <v>1070</v>
      </c>
      <c r="W286" s="2"/>
    </row>
    <row r="287" spans="21:23">
      <c r="U287" s="103" t="s">
        <v>687</v>
      </c>
      <c r="V287" s="2" t="s">
        <v>1070</v>
      </c>
      <c r="W287" s="2" t="s">
        <v>1005</v>
      </c>
    </row>
    <row r="288" spans="21:23">
      <c r="U288" s="102" t="s">
        <v>589</v>
      </c>
      <c r="V288" s="2" t="s">
        <v>589</v>
      </c>
      <c r="W288" s="2"/>
    </row>
    <row r="289" spans="21:23">
      <c r="U289" s="103" t="s">
        <v>598</v>
      </c>
      <c r="V289" s="2" t="s">
        <v>589</v>
      </c>
      <c r="W289" s="2" t="s">
        <v>1071</v>
      </c>
    </row>
    <row r="290" spans="21:23">
      <c r="U290" s="103" t="s">
        <v>595</v>
      </c>
      <c r="V290" s="2" t="s">
        <v>589</v>
      </c>
      <c r="W290" s="2" t="s">
        <v>1072</v>
      </c>
    </row>
    <row r="291" spans="21:23">
      <c r="U291" s="103" t="s">
        <v>588</v>
      </c>
      <c r="V291" s="2" t="s">
        <v>589</v>
      </c>
      <c r="W291" s="2" t="s">
        <v>1073</v>
      </c>
    </row>
    <row r="292" spans="21:23">
      <c r="U292" s="102" t="s">
        <v>441</v>
      </c>
      <c r="V292" s="2" t="s">
        <v>441</v>
      </c>
      <c r="W292" s="2"/>
    </row>
    <row r="293" spans="21:23">
      <c r="U293" s="103" t="s">
        <v>483</v>
      </c>
      <c r="V293" s="2" t="s">
        <v>441</v>
      </c>
      <c r="W293" s="2" t="s">
        <v>1074</v>
      </c>
    </row>
    <row r="294" spans="21:23">
      <c r="U294" s="103" t="s">
        <v>520</v>
      </c>
      <c r="V294" s="2" t="s">
        <v>441</v>
      </c>
      <c r="W294" s="2" t="s">
        <v>1075</v>
      </c>
    </row>
    <row r="295" spans="21:23">
      <c r="U295" s="103" t="s">
        <v>440</v>
      </c>
      <c r="V295" s="2" t="s">
        <v>441</v>
      </c>
      <c r="W295" s="2" t="s">
        <v>1076</v>
      </c>
    </row>
    <row r="296" spans="21:23">
      <c r="U296" s="102" t="s">
        <v>849</v>
      </c>
      <c r="V296" s="2" t="s">
        <v>849</v>
      </c>
      <c r="W296" s="2"/>
    </row>
    <row r="297" spans="21:23" ht="27">
      <c r="U297" s="103" t="s">
        <v>594</v>
      </c>
      <c r="V297" s="2" t="s">
        <v>849</v>
      </c>
      <c r="W297" s="2" t="s">
        <v>1077</v>
      </c>
    </row>
    <row r="298" spans="21:23">
      <c r="U298" s="103" t="s">
        <v>606</v>
      </c>
      <c r="V298" s="2" t="s">
        <v>849</v>
      </c>
      <c r="W298" s="2" t="s">
        <v>1078</v>
      </c>
    </row>
    <row r="299" spans="21:23">
      <c r="U299" s="103" t="s">
        <v>562</v>
      </c>
      <c r="V299" s="2" t="s">
        <v>849</v>
      </c>
      <c r="W299" s="2" t="s">
        <v>1020</v>
      </c>
    </row>
    <row r="300" spans="21:23">
      <c r="U300" s="103" t="s">
        <v>579</v>
      </c>
      <c r="V300" s="2" t="s">
        <v>849</v>
      </c>
      <c r="W300" s="2" t="s">
        <v>1079</v>
      </c>
    </row>
    <row r="301" spans="21:23">
      <c r="U301" s="103" t="s">
        <v>543</v>
      </c>
      <c r="V301" s="2" t="s">
        <v>849</v>
      </c>
      <c r="W301" s="2" t="s">
        <v>1061</v>
      </c>
    </row>
    <row r="302" spans="21:23">
      <c r="U302" s="103" t="s">
        <v>441</v>
      </c>
      <c r="V302" s="2" t="s">
        <v>849</v>
      </c>
      <c r="W302" s="2" t="s">
        <v>1080</v>
      </c>
    </row>
    <row r="303" spans="21:23">
      <c r="U303" s="103" t="s">
        <v>603</v>
      </c>
      <c r="V303" s="2" t="s">
        <v>849</v>
      </c>
      <c r="W303" s="2" t="s">
        <v>1081</v>
      </c>
    </row>
    <row r="304" spans="21:23">
      <c r="U304" s="102" t="s">
        <v>52</v>
      </c>
      <c r="V304" s="2" t="s">
        <v>52</v>
      </c>
      <c r="W304" s="2"/>
    </row>
    <row r="305" spans="21:23">
      <c r="U305" s="103" t="s">
        <v>466</v>
      </c>
      <c r="V305" s="2" t="s">
        <v>52</v>
      </c>
      <c r="W305" s="2" t="s">
        <v>1082</v>
      </c>
    </row>
    <row r="306" spans="21:23">
      <c r="U306" s="103" t="s">
        <v>509</v>
      </c>
      <c r="V306" s="2" t="s">
        <v>52</v>
      </c>
      <c r="W306" s="2" t="s">
        <v>1083</v>
      </c>
    </row>
    <row r="307" spans="21:23">
      <c r="U307" s="103" t="s">
        <v>424</v>
      </c>
      <c r="V307" s="2" t="s">
        <v>52</v>
      </c>
      <c r="W307" s="2" t="s">
        <v>1084</v>
      </c>
    </row>
    <row r="308" spans="21:23">
      <c r="U308" s="102" t="s">
        <v>132</v>
      </c>
      <c r="V308" s="2" t="s">
        <v>132</v>
      </c>
      <c r="W308" s="2"/>
    </row>
    <row r="309" spans="21:23">
      <c r="U309" s="103" t="s">
        <v>253</v>
      </c>
      <c r="V309" s="2" t="s">
        <v>132</v>
      </c>
      <c r="W309" s="2" t="s">
        <v>1085</v>
      </c>
    </row>
    <row r="310" spans="21:23">
      <c r="U310" s="104" t="s">
        <v>519</v>
      </c>
      <c r="V310" s="2" t="s">
        <v>132</v>
      </c>
      <c r="W310" s="2" t="s">
        <v>1086</v>
      </c>
    </row>
    <row r="311" spans="21:23">
      <c r="U311" s="105"/>
      <c r="V311" s="2" t="s">
        <v>132</v>
      </c>
      <c r="W311" s="2"/>
    </row>
    <row r="312" spans="21:23">
      <c r="U312" s="103" t="s">
        <v>437</v>
      </c>
      <c r="V312" s="2" t="s">
        <v>132</v>
      </c>
      <c r="W312" s="2" t="s">
        <v>1087</v>
      </c>
    </row>
    <row r="313" spans="21:23">
      <c r="U313" s="103" t="s">
        <v>479</v>
      </c>
      <c r="V313" s="2" t="s">
        <v>132</v>
      </c>
      <c r="W313" s="2" t="s">
        <v>1088</v>
      </c>
    </row>
    <row r="314" spans="21:23">
      <c r="U314" s="102" t="s">
        <v>1089</v>
      </c>
      <c r="V314" s="2" t="s">
        <v>1089</v>
      </c>
      <c r="W314" s="2"/>
    </row>
    <row r="315" spans="21:23">
      <c r="U315" s="103" t="s">
        <v>1090</v>
      </c>
      <c r="V315" s="2" t="s">
        <v>1089</v>
      </c>
      <c r="W315" s="2" t="s">
        <v>1091</v>
      </c>
    </row>
    <row r="316" spans="21:23">
      <c r="U316" s="103" t="s">
        <v>1092</v>
      </c>
      <c r="V316" s="2" t="s">
        <v>1089</v>
      </c>
      <c r="W316" s="2" t="s">
        <v>1093</v>
      </c>
    </row>
    <row r="317" spans="21:23">
      <c r="U317" s="103" t="s">
        <v>1094</v>
      </c>
      <c r="V317" s="2" t="s">
        <v>1089</v>
      </c>
      <c r="W317" s="2" t="s">
        <v>1095</v>
      </c>
    </row>
    <row r="318" spans="21:23">
      <c r="U318" s="102" t="s">
        <v>603</v>
      </c>
      <c r="V318" s="2" t="s">
        <v>603</v>
      </c>
      <c r="W318" s="2"/>
    </row>
    <row r="319" spans="21:23">
      <c r="U319" s="103" t="s">
        <v>603</v>
      </c>
      <c r="V319" s="2" t="s">
        <v>603</v>
      </c>
      <c r="W319" s="2" t="s">
        <v>1081</v>
      </c>
    </row>
    <row r="320" spans="21:23" ht="29.25">
      <c r="U320" s="102" t="s">
        <v>122</v>
      </c>
      <c r="V320" s="2" t="s">
        <v>122</v>
      </c>
      <c r="W320" s="2"/>
    </row>
    <row r="321" spans="21:23" ht="29.25">
      <c r="U321" s="103" t="s">
        <v>433</v>
      </c>
      <c r="V321" s="2" t="s">
        <v>122</v>
      </c>
      <c r="W321" s="2" t="s">
        <v>1096</v>
      </c>
    </row>
    <row r="322" spans="21:23" ht="29.25">
      <c r="U322" s="103" t="s">
        <v>475</v>
      </c>
      <c r="V322" s="2" t="s">
        <v>122</v>
      </c>
      <c r="W322" s="2" t="s">
        <v>1097</v>
      </c>
    </row>
    <row r="323" spans="21:23">
      <c r="U323" s="102" t="s">
        <v>878</v>
      </c>
      <c r="V323" s="2" t="s">
        <v>878</v>
      </c>
      <c r="W323" s="2"/>
    </row>
    <row r="324" spans="21:23">
      <c r="U324" s="103" t="s">
        <v>482</v>
      </c>
      <c r="V324" s="2" t="s">
        <v>878</v>
      </c>
      <c r="W324" s="2" t="s">
        <v>1098</v>
      </c>
    </row>
    <row r="325" spans="21:23">
      <c r="U325" s="103" t="s">
        <v>439</v>
      </c>
      <c r="V325" s="2" t="s">
        <v>878</v>
      </c>
      <c r="W325" s="2" t="s">
        <v>1099</v>
      </c>
    </row>
    <row r="326" spans="21:23">
      <c r="U326" s="102" t="s">
        <v>875</v>
      </c>
      <c r="V326" s="2" t="s">
        <v>875</v>
      </c>
      <c r="W326" s="2"/>
    </row>
    <row r="327" spans="21:23">
      <c r="U327" s="103" t="s">
        <v>156</v>
      </c>
      <c r="V327" s="2" t="s">
        <v>875</v>
      </c>
      <c r="W327" s="2" t="s">
        <v>1100</v>
      </c>
    </row>
    <row r="328" spans="21:23">
      <c r="U328" s="103" t="s">
        <v>153</v>
      </c>
      <c r="V328" s="2" t="s">
        <v>875</v>
      </c>
      <c r="W328" s="2" t="s">
        <v>1101</v>
      </c>
    </row>
    <row r="329" spans="21:23">
      <c r="U329" s="104" t="s">
        <v>155</v>
      </c>
      <c r="V329" s="2" t="s">
        <v>875</v>
      </c>
      <c r="W329" s="2" t="s">
        <v>1102</v>
      </c>
    </row>
    <row r="330" spans="21:23">
      <c r="U330" s="105"/>
      <c r="V330" s="2" t="s">
        <v>875</v>
      </c>
      <c r="W330" s="2"/>
    </row>
    <row r="331" spans="21:23">
      <c r="U331" s="103" t="s">
        <v>157</v>
      </c>
      <c r="V331" s="2" t="s">
        <v>875</v>
      </c>
      <c r="W331" s="2" t="s">
        <v>1103</v>
      </c>
    </row>
    <row r="332" spans="21:23">
      <c r="U332" s="102" t="s">
        <v>1104</v>
      </c>
      <c r="V332" s="2" t="s">
        <v>750</v>
      </c>
      <c r="W332" s="2"/>
    </row>
    <row r="333" spans="21:23">
      <c r="U333" s="102" t="s">
        <v>1105</v>
      </c>
      <c r="V333" s="2" t="s">
        <v>1105</v>
      </c>
      <c r="W333" s="2"/>
    </row>
    <row r="334" spans="21:23" ht="27">
      <c r="U334" s="103" t="s">
        <v>474</v>
      </c>
      <c r="V334" s="2" t="s">
        <v>1105</v>
      </c>
      <c r="W334" s="2" t="s">
        <v>1106</v>
      </c>
    </row>
    <row r="335" spans="21:23">
      <c r="U335" s="103" t="s">
        <v>516</v>
      </c>
      <c r="V335" s="2" t="s">
        <v>1105</v>
      </c>
      <c r="W335" s="2" t="s">
        <v>1107</v>
      </c>
    </row>
    <row r="336" spans="21:23" ht="27">
      <c r="U336" s="104" t="s">
        <v>541</v>
      </c>
      <c r="V336" s="2" t="s">
        <v>1105</v>
      </c>
      <c r="W336" s="2" t="s">
        <v>1108</v>
      </c>
    </row>
    <row r="337" spans="21:23">
      <c r="U337" s="105"/>
      <c r="V337" s="2" t="s">
        <v>1105</v>
      </c>
      <c r="W337" s="2"/>
    </row>
    <row r="338" spans="21:23">
      <c r="U338" s="103" t="s">
        <v>432</v>
      </c>
      <c r="V338" s="2" t="s">
        <v>1105</v>
      </c>
      <c r="W338" s="2" t="s">
        <v>817</v>
      </c>
    </row>
    <row r="339" spans="21:23">
      <c r="U339" s="102" t="s">
        <v>1109</v>
      </c>
      <c r="V339" s="2" t="s">
        <v>750</v>
      </c>
      <c r="W339" s="2"/>
    </row>
    <row r="340" spans="21:23" ht="29.25">
      <c r="U340" s="102" t="s">
        <v>613</v>
      </c>
      <c r="V340" s="2" t="s">
        <v>613</v>
      </c>
      <c r="W340" s="2"/>
    </row>
    <row r="341" spans="21:23" ht="29.25">
      <c r="U341" s="103" t="s">
        <v>615</v>
      </c>
      <c r="V341" s="2" t="s">
        <v>613</v>
      </c>
      <c r="W341" s="2" t="s">
        <v>1110</v>
      </c>
    </row>
    <row r="342" spans="21:23" ht="29.25">
      <c r="U342" s="103" t="s">
        <v>616</v>
      </c>
      <c r="V342" s="2" t="s">
        <v>613</v>
      </c>
      <c r="W342" s="2" t="s">
        <v>1111</v>
      </c>
    </row>
    <row r="343" spans="21:23" ht="29.25">
      <c r="U343" s="103" t="s">
        <v>612</v>
      </c>
      <c r="V343" s="2" t="s">
        <v>613</v>
      </c>
      <c r="W343" s="2" t="s">
        <v>1112</v>
      </c>
    </row>
    <row r="344" spans="21:23" ht="29.25">
      <c r="U344" s="103" t="s">
        <v>614</v>
      </c>
      <c r="V344" s="2" t="s">
        <v>613</v>
      </c>
      <c r="W344" s="2" t="s">
        <v>1113</v>
      </c>
    </row>
    <row r="345" spans="21:23">
      <c r="U345" s="102" t="s">
        <v>564</v>
      </c>
      <c r="V345" s="2" t="s">
        <v>564</v>
      </c>
      <c r="W345" s="2"/>
    </row>
    <row r="346" spans="21:23">
      <c r="U346" s="103" t="s">
        <v>563</v>
      </c>
      <c r="V346" s="2" t="s">
        <v>564</v>
      </c>
      <c r="W346" s="2" t="s">
        <v>1114</v>
      </c>
    </row>
    <row r="347" spans="21:23">
      <c r="U347" s="103" t="s">
        <v>580</v>
      </c>
      <c r="V347" s="2" t="s">
        <v>564</v>
      </c>
      <c r="W347" s="2" t="s">
        <v>1115</v>
      </c>
    </row>
    <row r="359" spans="21:21" ht="28.5">
      <c r="U359" s="108"/>
    </row>
  </sheetData>
  <hyperlinks>
    <hyperlink ref="AB48" r:id="rId1" xr:uid="{C22727FF-64CF-4AEB-A327-3FE123F06051}"/>
  </hyperlinks>
  <pageMargins left="0.7" right="0.7" top="0.75" bottom="0.75" header="0.3" footer="0.3"/>
  <pageSetup paperSize="9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F75EF-78E7-4AE4-86C6-C79E29F1FE93}">
  <dimension ref="A1:K447"/>
  <sheetViews>
    <sheetView topLeftCell="A422" workbookViewId="0">
      <selection activeCell="A443" sqref="A443"/>
    </sheetView>
  </sheetViews>
  <sheetFormatPr defaultRowHeight="15"/>
  <cols>
    <col min="1" max="1" width="64" customWidth="1"/>
    <col min="2" max="2" width="29.5703125" customWidth="1"/>
    <col min="3" max="3" width="33.5703125" customWidth="1"/>
    <col min="4" max="4" width="51.28515625" customWidth="1"/>
    <col min="5" max="5" width="42.28515625" customWidth="1"/>
    <col min="6" max="6" width="15.140625" style="41" customWidth="1"/>
    <col min="8" max="8" width="31.28515625" customWidth="1"/>
    <col min="10" max="10" width="23.28515625" customWidth="1"/>
    <col min="11" max="11" width="65.42578125" customWidth="1"/>
  </cols>
  <sheetData>
    <row r="1" spans="1:11" ht="15.75">
      <c r="A1" s="128"/>
      <c r="B1" s="126" t="s">
        <v>1116</v>
      </c>
      <c r="C1" s="127" t="s">
        <v>1117</v>
      </c>
      <c r="D1" s="128"/>
      <c r="E1" s="127" t="s">
        <v>1118</v>
      </c>
      <c r="F1"/>
      <c r="H1" s="127" t="s">
        <v>1119</v>
      </c>
      <c r="I1" s="127" t="s">
        <v>1120</v>
      </c>
      <c r="J1" s="127" t="s">
        <v>32</v>
      </c>
      <c r="K1" s="127" t="s">
        <v>1121</v>
      </c>
    </row>
    <row r="2" spans="1:11">
      <c r="A2" s="135" t="s">
        <v>1122</v>
      </c>
      <c r="B2" s="129" t="s">
        <v>147</v>
      </c>
      <c r="C2" s="130" t="s">
        <v>1123</v>
      </c>
      <c r="D2" s="135" t="s">
        <v>1122</v>
      </c>
      <c r="E2" s="130" t="s">
        <v>1124</v>
      </c>
      <c r="F2" s="41">
        <f>COUNTIF(B:B,B2)</f>
        <v>1</v>
      </c>
      <c r="H2" s="138" t="s">
        <v>1125</v>
      </c>
      <c r="I2" s="138" t="s">
        <v>1126</v>
      </c>
      <c r="J2" s="139" t="s">
        <v>1127</v>
      </c>
      <c r="K2" s="139" t="s">
        <v>1128</v>
      </c>
    </row>
    <row r="3" spans="1:11" ht="27">
      <c r="A3" s="134" t="s">
        <v>711</v>
      </c>
      <c r="B3" s="132" t="s">
        <v>148</v>
      </c>
      <c r="C3" s="133" t="s">
        <v>1129</v>
      </c>
      <c r="D3" s="134" t="s">
        <v>711</v>
      </c>
      <c r="E3" s="133" t="s">
        <v>1130</v>
      </c>
      <c r="F3" s="41">
        <f t="shared" ref="F3:F66" si="0">COUNTIF(B:B,B3)</f>
        <v>1</v>
      </c>
      <c r="H3" s="138" t="s">
        <v>1131</v>
      </c>
      <c r="I3" s="138" t="s">
        <v>1132</v>
      </c>
      <c r="J3" s="139" t="s">
        <v>1133</v>
      </c>
      <c r="K3" s="139" t="s">
        <v>1134</v>
      </c>
    </row>
    <row r="4" spans="1:11">
      <c r="A4" s="134">
        <v>246075003</v>
      </c>
      <c r="B4" s="132" t="s">
        <v>151</v>
      </c>
      <c r="C4" s="133" t="s">
        <v>1135</v>
      </c>
      <c r="D4" s="134">
        <v>246075003</v>
      </c>
      <c r="E4" s="133" t="s">
        <v>1136</v>
      </c>
      <c r="F4" s="41">
        <f t="shared" si="0"/>
        <v>1</v>
      </c>
      <c r="H4" s="138" t="s">
        <v>1137</v>
      </c>
      <c r="I4" s="138" t="s">
        <v>1138</v>
      </c>
      <c r="J4" s="139" t="s">
        <v>1139</v>
      </c>
      <c r="K4" s="139" t="s">
        <v>1140</v>
      </c>
    </row>
    <row r="5" spans="1:11">
      <c r="A5" s="131" t="s">
        <v>716</v>
      </c>
      <c r="B5" s="129" t="s">
        <v>132</v>
      </c>
      <c r="C5" s="130" t="s">
        <v>1141</v>
      </c>
      <c r="D5" s="131" t="s">
        <v>716</v>
      </c>
      <c r="E5" s="130" t="s">
        <v>1142</v>
      </c>
      <c r="F5" s="41">
        <f t="shared" si="0"/>
        <v>1</v>
      </c>
      <c r="H5" s="138" t="s">
        <v>1143</v>
      </c>
      <c r="I5" s="138" t="s">
        <v>1144</v>
      </c>
      <c r="J5" s="139" t="s">
        <v>1145</v>
      </c>
      <c r="K5" s="139" t="s">
        <v>1146</v>
      </c>
    </row>
    <row r="6" spans="1:11">
      <c r="A6" s="134" t="s">
        <v>721</v>
      </c>
      <c r="B6" s="132" t="s">
        <v>135</v>
      </c>
      <c r="C6" s="133" t="s">
        <v>1147</v>
      </c>
      <c r="D6" s="134" t="s">
        <v>721</v>
      </c>
      <c r="E6" s="133" t="s">
        <v>1148</v>
      </c>
      <c r="F6" s="41">
        <f t="shared" si="0"/>
        <v>1</v>
      </c>
      <c r="H6" s="138" t="s">
        <v>1149</v>
      </c>
      <c r="I6" s="138" t="s">
        <v>1150</v>
      </c>
      <c r="J6" s="139" t="s">
        <v>1151</v>
      </c>
      <c r="K6" s="139" t="s">
        <v>1152</v>
      </c>
    </row>
    <row r="7" spans="1:11">
      <c r="A7" s="134" t="s">
        <v>726</v>
      </c>
      <c r="B7" s="132" t="s">
        <v>133</v>
      </c>
      <c r="C7" s="133" t="s">
        <v>1153</v>
      </c>
      <c r="D7" s="134" t="s">
        <v>726</v>
      </c>
      <c r="E7" s="133" t="s">
        <v>1154</v>
      </c>
      <c r="F7" s="41">
        <f t="shared" si="0"/>
        <v>1</v>
      </c>
      <c r="H7" s="138" t="s">
        <v>1155</v>
      </c>
      <c r="I7" s="138" t="s">
        <v>1156</v>
      </c>
      <c r="J7" s="139" t="s">
        <v>1157</v>
      </c>
      <c r="K7" s="139" t="s">
        <v>1158</v>
      </c>
    </row>
    <row r="8" spans="1:11">
      <c r="A8" s="134" t="s">
        <v>731</v>
      </c>
      <c r="B8" s="132" t="s">
        <v>134</v>
      </c>
      <c r="C8" s="133" t="s">
        <v>1159</v>
      </c>
      <c r="D8" s="134" t="s">
        <v>731</v>
      </c>
      <c r="E8" s="133" t="s">
        <v>1160</v>
      </c>
      <c r="F8" s="41">
        <f t="shared" si="0"/>
        <v>1</v>
      </c>
      <c r="H8" s="138" t="s">
        <v>1161</v>
      </c>
      <c r="I8" s="138" t="s">
        <v>1162</v>
      </c>
      <c r="J8" s="139" t="s">
        <v>1163</v>
      </c>
      <c r="K8" s="139" t="s">
        <v>1164</v>
      </c>
    </row>
    <row r="9" spans="1:11">
      <c r="A9" s="134" t="s">
        <v>734</v>
      </c>
      <c r="B9" s="132" t="s">
        <v>136</v>
      </c>
      <c r="C9" s="133" t="s">
        <v>1165</v>
      </c>
      <c r="D9" s="134" t="s">
        <v>734</v>
      </c>
      <c r="E9" s="133" t="s">
        <v>1166</v>
      </c>
      <c r="F9" s="41">
        <f t="shared" si="0"/>
        <v>1</v>
      </c>
      <c r="H9" s="138" t="s">
        <v>1167</v>
      </c>
      <c r="I9" s="138" t="s">
        <v>1168</v>
      </c>
      <c r="J9" s="139" t="s">
        <v>1169</v>
      </c>
      <c r="K9" s="139" t="s">
        <v>1170</v>
      </c>
    </row>
    <row r="10" spans="1:11">
      <c r="A10" s="134" t="s">
        <v>738</v>
      </c>
      <c r="B10" s="132" t="s">
        <v>138</v>
      </c>
      <c r="C10" s="133" t="s">
        <v>1171</v>
      </c>
      <c r="D10" s="134" t="s">
        <v>738</v>
      </c>
      <c r="E10" s="133" t="s">
        <v>1172</v>
      </c>
      <c r="F10" s="41">
        <f t="shared" si="0"/>
        <v>1</v>
      </c>
      <c r="H10" s="138" t="s">
        <v>1173</v>
      </c>
      <c r="I10" s="138" t="s">
        <v>1174</v>
      </c>
      <c r="J10" s="139" t="s">
        <v>1175</v>
      </c>
      <c r="K10" s="139" t="s">
        <v>1176</v>
      </c>
    </row>
    <row r="11" spans="1:11">
      <c r="A11" s="134" t="s">
        <v>741</v>
      </c>
      <c r="B11" s="132" t="s">
        <v>139</v>
      </c>
      <c r="C11" s="133" t="s">
        <v>1177</v>
      </c>
      <c r="D11" s="134" t="s">
        <v>741</v>
      </c>
      <c r="E11" s="133" t="s">
        <v>1178</v>
      </c>
      <c r="F11" s="41">
        <f t="shared" si="0"/>
        <v>1</v>
      </c>
      <c r="H11" s="138" t="s">
        <v>1179</v>
      </c>
      <c r="I11" s="138" t="s">
        <v>1180</v>
      </c>
      <c r="J11" s="139" t="s">
        <v>1181</v>
      </c>
      <c r="K11" s="139" t="s">
        <v>1182</v>
      </c>
    </row>
    <row r="12" spans="1:11" ht="27">
      <c r="A12" s="134" t="s">
        <v>745</v>
      </c>
      <c r="B12" s="132" t="s">
        <v>140</v>
      </c>
      <c r="C12" s="133" t="s">
        <v>1183</v>
      </c>
      <c r="D12" s="134" t="s">
        <v>745</v>
      </c>
      <c r="E12" s="133" t="s">
        <v>1184</v>
      </c>
      <c r="F12" s="41">
        <f t="shared" si="0"/>
        <v>1</v>
      </c>
      <c r="H12" s="138" t="s">
        <v>1185</v>
      </c>
      <c r="I12" s="138" t="s">
        <v>1186</v>
      </c>
      <c r="J12" s="139" t="s">
        <v>1187</v>
      </c>
      <c r="K12" s="139" t="s">
        <v>1188</v>
      </c>
    </row>
    <row r="13" spans="1:11">
      <c r="A13" s="134" t="s">
        <v>749</v>
      </c>
      <c r="B13" s="132" t="s">
        <v>141</v>
      </c>
      <c r="C13" s="133" t="s">
        <v>1189</v>
      </c>
      <c r="D13" s="134" t="s">
        <v>749</v>
      </c>
      <c r="E13" s="133" t="s">
        <v>1190</v>
      </c>
      <c r="F13" s="41">
        <f t="shared" si="0"/>
        <v>1</v>
      </c>
      <c r="H13" s="138" t="s">
        <v>1191</v>
      </c>
      <c r="I13" s="138" t="s">
        <v>1192</v>
      </c>
      <c r="J13" s="139" t="s">
        <v>1193</v>
      </c>
      <c r="K13" s="139" t="s">
        <v>1194</v>
      </c>
    </row>
    <row r="14" spans="1:11">
      <c r="A14" s="131" t="s">
        <v>755</v>
      </c>
      <c r="B14" s="129" t="s">
        <v>82</v>
      </c>
      <c r="C14" s="130" t="s">
        <v>1195</v>
      </c>
      <c r="D14" s="131" t="s">
        <v>755</v>
      </c>
      <c r="E14" s="130" t="s">
        <v>1196</v>
      </c>
      <c r="F14" s="41">
        <f t="shared" si="0"/>
        <v>1</v>
      </c>
      <c r="H14" s="138" t="s">
        <v>1197</v>
      </c>
      <c r="I14" s="138" t="s">
        <v>1198</v>
      </c>
      <c r="J14" s="139" t="s">
        <v>1199</v>
      </c>
      <c r="K14" s="139" t="s">
        <v>1200</v>
      </c>
    </row>
    <row r="15" spans="1:11">
      <c r="A15" s="134" t="s">
        <v>758</v>
      </c>
      <c r="B15" s="132" t="s">
        <v>94</v>
      </c>
      <c r="C15" s="133" t="s">
        <v>1201</v>
      </c>
      <c r="D15" s="134" t="s">
        <v>758</v>
      </c>
      <c r="E15" s="133" t="s">
        <v>1202</v>
      </c>
      <c r="F15" s="41">
        <f t="shared" si="0"/>
        <v>1</v>
      </c>
      <c r="H15" s="138" t="s">
        <v>1203</v>
      </c>
      <c r="I15" s="138" t="s">
        <v>1204</v>
      </c>
      <c r="J15" s="139" t="s">
        <v>1205</v>
      </c>
      <c r="K15" s="139" t="s">
        <v>1206</v>
      </c>
    </row>
    <row r="16" spans="1:11">
      <c r="A16" s="134" t="s">
        <v>762</v>
      </c>
      <c r="B16" s="132" t="s">
        <v>761</v>
      </c>
      <c r="C16" s="133" t="s">
        <v>1207</v>
      </c>
      <c r="D16" s="134" t="s">
        <v>762</v>
      </c>
      <c r="E16" s="133" t="s">
        <v>1208</v>
      </c>
      <c r="F16" s="41">
        <f t="shared" si="0"/>
        <v>1</v>
      </c>
      <c r="H16" s="138" t="s">
        <v>1209</v>
      </c>
      <c r="I16" s="138" t="s">
        <v>1210</v>
      </c>
      <c r="J16" s="139" t="s">
        <v>1211</v>
      </c>
      <c r="K16" s="139" t="s">
        <v>1212</v>
      </c>
    </row>
    <row r="17" spans="1:11">
      <c r="A17" s="134" t="s">
        <v>764</v>
      </c>
      <c r="B17" s="132" t="s">
        <v>90</v>
      </c>
      <c r="C17" s="133" t="s">
        <v>1213</v>
      </c>
      <c r="D17" s="134" t="s">
        <v>764</v>
      </c>
      <c r="E17" s="133" t="s">
        <v>1214</v>
      </c>
      <c r="F17" s="41">
        <f t="shared" si="0"/>
        <v>1</v>
      </c>
      <c r="H17" s="138" t="s">
        <v>1215</v>
      </c>
      <c r="I17" s="138" t="s">
        <v>1216</v>
      </c>
      <c r="J17" s="139" t="s">
        <v>1217</v>
      </c>
      <c r="K17" s="139" t="s">
        <v>1218</v>
      </c>
    </row>
    <row r="18" spans="1:11">
      <c r="A18" s="134" t="s">
        <v>766</v>
      </c>
      <c r="B18" s="132" t="s">
        <v>89</v>
      </c>
      <c r="C18" s="133" t="s">
        <v>1219</v>
      </c>
      <c r="D18" s="134" t="s">
        <v>766</v>
      </c>
      <c r="E18" s="133" t="s">
        <v>1220</v>
      </c>
      <c r="F18" s="41">
        <f t="shared" si="0"/>
        <v>1</v>
      </c>
      <c r="H18" s="138" t="s">
        <v>1221</v>
      </c>
      <c r="I18" s="138" t="s">
        <v>1222</v>
      </c>
      <c r="J18" s="139" t="s">
        <v>1223</v>
      </c>
      <c r="K18" s="139" t="s">
        <v>1224</v>
      </c>
    </row>
    <row r="19" spans="1:11">
      <c r="A19" s="134" t="s">
        <v>768</v>
      </c>
      <c r="B19" s="132" t="s">
        <v>92</v>
      </c>
      <c r="C19" s="133" t="s">
        <v>1225</v>
      </c>
      <c r="D19" s="134" t="s">
        <v>768</v>
      </c>
      <c r="E19" s="133" t="s">
        <v>1226</v>
      </c>
      <c r="F19" s="41">
        <f t="shared" si="0"/>
        <v>1</v>
      </c>
      <c r="H19" s="138" t="s">
        <v>1227</v>
      </c>
      <c r="I19" s="138" t="s">
        <v>1228</v>
      </c>
      <c r="J19" s="139" t="s">
        <v>1229</v>
      </c>
      <c r="K19" s="139" t="s">
        <v>1230</v>
      </c>
    </row>
    <row r="20" spans="1:11">
      <c r="A20" s="134" t="s">
        <v>769</v>
      </c>
      <c r="B20" s="132" t="s">
        <v>91</v>
      </c>
      <c r="C20" s="133" t="s">
        <v>1231</v>
      </c>
      <c r="D20" s="134" t="s">
        <v>769</v>
      </c>
      <c r="E20" s="133" t="s">
        <v>1232</v>
      </c>
      <c r="F20" s="41">
        <f t="shared" si="0"/>
        <v>1</v>
      </c>
      <c r="H20" s="138" t="s">
        <v>1233</v>
      </c>
      <c r="I20" s="138" t="s">
        <v>1234</v>
      </c>
      <c r="J20" s="139" t="s">
        <v>1235</v>
      </c>
      <c r="K20" s="139" t="s">
        <v>1236</v>
      </c>
    </row>
    <row r="21" spans="1:11" ht="27">
      <c r="A21" s="131" t="s">
        <v>771</v>
      </c>
      <c r="B21" s="129" t="s">
        <v>160</v>
      </c>
      <c r="C21" s="130" t="s">
        <v>1237</v>
      </c>
      <c r="D21" s="131" t="s">
        <v>771</v>
      </c>
      <c r="E21" s="130" t="s">
        <v>1238</v>
      </c>
      <c r="F21" s="41">
        <f t="shared" si="0"/>
        <v>2</v>
      </c>
      <c r="H21" s="138" t="s">
        <v>1239</v>
      </c>
      <c r="I21" s="138" t="s">
        <v>1240</v>
      </c>
      <c r="J21" s="139" t="s">
        <v>1241</v>
      </c>
      <c r="K21" s="139" t="s">
        <v>1242</v>
      </c>
    </row>
    <row r="22" spans="1:11" ht="27">
      <c r="A22" s="134" t="s">
        <v>774</v>
      </c>
      <c r="B22" s="132" t="s">
        <v>160</v>
      </c>
      <c r="C22" s="133" t="s">
        <v>1237</v>
      </c>
      <c r="D22" s="134" t="s">
        <v>774</v>
      </c>
      <c r="E22" s="133" t="s">
        <v>1238</v>
      </c>
      <c r="F22" s="41">
        <f t="shared" si="0"/>
        <v>2</v>
      </c>
      <c r="H22" s="138" t="s">
        <v>1243</v>
      </c>
      <c r="I22" s="138" t="s">
        <v>1244</v>
      </c>
      <c r="J22" s="139" t="s">
        <v>1245</v>
      </c>
      <c r="K22" s="139" t="s">
        <v>1246</v>
      </c>
    </row>
    <row r="23" spans="1:11" ht="27">
      <c r="A23" s="131" t="s">
        <v>776</v>
      </c>
      <c r="B23" s="129" t="s">
        <v>117</v>
      </c>
      <c r="C23" s="130" t="s">
        <v>1247</v>
      </c>
      <c r="D23" s="131" t="s">
        <v>776</v>
      </c>
      <c r="E23" s="130" t="s">
        <v>1248</v>
      </c>
      <c r="F23" s="41">
        <f t="shared" si="0"/>
        <v>1</v>
      </c>
      <c r="H23" s="138" t="s">
        <v>1249</v>
      </c>
      <c r="I23" s="138" t="s">
        <v>1250</v>
      </c>
      <c r="J23" s="139" t="s">
        <v>1251</v>
      </c>
      <c r="K23" s="139" t="s">
        <v>1252</v>
      </c>
    </row>
    <row r="24" spans="1:11" ht="53.25">
      <c r="A24" s="136" t="s">
        <v>777</v>
      </c>
      <c r="B24" s="132" t="s">
        <v>121</v>
      </c>
      <c r="C24" s="133" t="s">
        <v>1253</v>
      </c>
      <c r="D24" s="136" t="s">
        <v>777</v>
      </c>
      <c r="E24" s="133" t="s">
        <v>1254</v>
      </c>
      <c r="F24" s="41">
        <f t="shared" si="0"/>
        <v>1</v>
      </c>
      <c r="H24" s="138" t="s">
        <v>1255</v>
      </c>
      <c r="I24" s="138" t="s">
        <v>1256</v>
      </c>
      <c r="J24" s="139" t="s">
        <v>1257</v>
      </c>
      <c r="K24" s="139" t="s">
        <v>1258</v>
      </c>
    </row>
    <row r="25" spans="1:11" ht="40.5">
      <c r="A25" s="134" t="s">
        <v>779</v>
      </c>
      <c r="B25" s="132" t="s">
        <v>120</v>
      </c>
      <c r="C25" s="133" t="s">
        <v>1259</v>
      </c>
      <c r="D25" s="134" t="s">
        <v>779</v>
      </c>
      <c r="E25" s="133" t="s">
        <v>1260</v>
      </c>
      <c r="F25" s="41">
        <f t="shared" si="0"/>
        <v>1</v>
      </c>
      <c r="H25" s="138" t="s">
        <v>1261</v>
      </c>
      <c r="I25" s="138" t="s">
        <v>1262</v>
      </c>
      <c r="J25" s="139" t="s">
        <v>1263</v>
      </c>
      <c r="K25" s="139" t="s">
        <v>1264</v>
      </c>
    </row>
    <row r="26" spans="1:11" ht="53.25">
      <c r="A26" s="134" t="s">
        <v>780</v>
      </c>
      <c r="B26" s="132" t="s">
        <v>119</v>
      </c>
      <c r="C26" s="133" t="s">
        <v>1265</v>
      </c>
      <c r="D26" s="134" t="s">
        <v>780</v>
      </c>
      <c r="E26" s="133" t="s">
        <v>1266</v>
      </c>
      <c r="F26" s="41">
        <f t="shared" si="0"/>
        <v>1</v>
      </c>
      <c r="H26" s="138" t="s">
        <v>1267</v>
      </c>
      <c r="I26" s="138" t="s">
        <v>1268</v>
      </c>
      <c r="J26" s="139" t="s">
        <v>1269</v>
      </c>
      <c r="K26" s="139" t="s">
        <v>1270</v>
      </c>
    </row>
    <row r="27" spans="1:11" ht="27">
      <c r="A27" s="134" t="s">
        <v>782</v>
      </c>
      <c r="B27" s="132" t="s">
        <v>118</v>
      </c>
      <c r="C27" s="133" t="s">
        <v>1271</v>
      </c>
      <c r="D27" s="134" t="s">
        <v>782</v>
      </c>
      <c r="E27" s="133" t="s">
        <v>1272</v>
      </c>
      <c r="F27" s="41">
        <f t="shared" si="0"/>
        <v>1</v>
      </c>
      <c r="H27" s="138" t="s">
        <v>1273</v>
      </c>
      <c r="I27" s="138" t="s">
        <v>1274</v>
      </c>
      <c r="J27" s="139" t="s">
        <v>1275</v>
      </c>
      <c r="K27" s="139" t="s">
        <v>1276</v>
      </c>
    </row>
    <row r="28" spans="1:11" ht="27">
      <c r="A28" s="134" t="s">
        <v>784</v>
      </c>
      <c r="B28" s="132" t="s">
        <v>126</v>
      </c>
      <c r="C28" s="133" t="s">
        <v>1277</v>
      </c>
      <c r="D28" s="134" t="s">
        <v>784</v>
      </c>
      <c r="E28" s="133" t="s">
        <v>1278</v>
      </c>
      <c r="F28" s="41">
        <f t="shared" si="0"/>
        <v>1</v>
      </c>
      <c r="H28" s="138" t="s">
        <v>1279</v>
      </c>
      <c r="I28" s="138" t="s">
        <v>1280</v>
      </c>
      <c r="J28" s="139" t="s">
        <v>1281</v>
      </c>
      <c r="K28" s="139" t="s">
        <v>1282</v>
      </c>
    </row>
    <row r="29" spans="1:11">
      <c r="A29" s="131" t="s">
        <v>786</v>
      </c>
      <c r="B29" s="129" t="s">
        <v>113</v>
      </c>
      <c r="C29" s="130" t="s">
        <v>1283</v>
      </c>
      <c r="D29" s="131" t="s">
        <v>786</v>
      </c>
      <c r="E29" s="130" t="s">
        <v>1284</v>
      </c>
      <c r="F29" s="41">
        <f t="shared" si="0"/>
        <v>2</v>
      </c>
      <c r="H29" s="138" t="s">
        <v>1285</v>
      </c>
      <c r="I29" s="138" t="s">
        <v>1286</v>
      </c>
      <c r="J29" s="139" t="s">
        <v>1287</v>
      </c>
      <c r="K29" s="139" t="s">
        <v>1288</v>
      </c>
    </row>
    <row r="30" spans="1:11">
      <c r="A30" s="134" t="s">
        <v>788</v>
      </c>
      <c r="B30" s="132" t="s">
        <v>113</v>
      </c>
      <c r="C30" s="133" t="s">
        <v>1289</v>
      </c>
      <c r="D30" s="134" t="s">
        <v>788</v>
      </c>
      <c r="E30" s="133" t="s">
        <v>1290</v>
      </c>
      <c r="F30" s="41">
        <f t="shared" si="0"/>
        <v>2</v>
      </c>
      <c r="H30" s="138" t="s">
        <v>1291</v>
      </c>
      <c r="I30" s="138" t="s">
        <v>1292</v>
      </c>
      <c r="J30" s="139" t="s">
        <v>1293</v>
      </c>
      <c r="K30" s="139" t="s">
        <v>1294</v>
      </c>
    </row>
    <row r="31" spans="1:11">
      <c r="A31" s="134" t="s">
        <v>789</v>
      </c>
      <c r="B31" s="132" t="s">
        <v>114</v>
      </c>
      <c r="C31" s="133" t="s">
        <v>1295</v>
      </c>
      <c r="D31" s="134" t="s">
        <v>789</v>
      </c>
      <c r="E31" s="133" t="s">
        <v>1296</v>
      </c>
      <c r="F31" s="41">
        <f t="shared" si="0"/>
        <v>1</v>
      </c>
      <c r="H31" s="138" t="s">
        <v>1297</v>
      </c>
      <c r="I31" s="138" t="s">
        <v>1298</v>
      </c>
      <c r="J31" s="139" t="s">
        <v>1299</v>
      </c>
      <c r="K31" s="139" t="s">
        <v>1300</v>
      </c>
    </row>
    <row r="32" spans="1:11">
      <c r="A32" s="134" t="s">
        <v>738</v>
      </c>
      <c r="B32" s="132" t="s">
        <v>115</v>
      </c>
      <c r="C32" s="133" t="s">
        <v>1171</v>
      </c>
      <c r="D32" s="134" t="s">
        <v>738</v>
      </c>
      <c r="E32" s="133" t="s">
        <v>1172</v>
      </c>
      <c r="F32" s="41">
        <f t="shared" si="0"/>
        <v>2</v>
      </c>
      <c r="H32" s="138" t="s">
        <v>1301</v>
      </c>
      <c r="I32" s="138" t="s">
        <v>1302</v>
      </c>
      <c r="J32" s="139" t="s">
        <v>1303</v>
      </c>
      <c r="K32" s="139" t="s">
        <v>1304</v>
      </c>
    </row>
    <row r="33" spans="1:11" ht="27">
      <c r="A33" s="134" t="s">
        <v>792</v>
      </c>
      <c r="B33" s="132" t="s">
        <v>116</v>
      </c>
      <c r="C33" s="133" t="s">
        <v>1305</v>
      </c>
      <c r="D33" s="134" t="s">
        <v>792</v>
      </c>
      <c r="E33" s="133" t="s">
        <v>1306</v>
      </c>
      <c r="F33" s="41">
        <f t="shared" si="0"/>
        <v>1</v>
      </c>
      <c r="H33" s="138" t="s">
        <v>1307</v>
      </c>
      <c r="I33" s="138" t="s">
        <v>1308</v>
      </c>
      <c r="J33" s="139" t="s">
        <v>1309</v>
      </c>
      <c r="K33" s="139" t="s">
        <v>1310</v>
      </c>
    </row>
    <row r="34" spans="1:11">
      <c r="A34" s="131" t="s">
        <v>781</v>
      </c>
      <c r="B34" s="129" t="s">
        <v>795</v>
      </c>
      <c r="C34" s="130" t="s">
        <v>1311</v>
      </c>
      <c r="D34" s="131" t="s">
        <v>781</v>
      </c>
      <c r="E34" s="130" t="s">
        <v>1312</v>
      </c>
      <c r="F34" s="41">
        <f t="shared" si="0"/>
        <v>1</v>
      </c>
      <c r="H34" s="138" t="s">
        <v>1313</v>
      </c>
      <c r="I34" s="138" t="s">
        <v>1314</v>
      </c>
      <c r="J34" s="139" t="s">
        <v>1315</v>
      </c>
      <c r="K34" s="139" t="s">
        <v>1316</v>
      </c>
    </row>
    <row r="35" spans="1:11">
      <c r="A35" s="134" t="s">
        <v>738</v>
      </c>
      <c r="B35" s="132" t="s">
        <v>146</v>
      </c>
      <c r="C35" s="133" t="s">
        <v>1171</v>
      </c>
      <c r="D35" s="134" t="s">
        <v>738</v>
      </c>
      <c r="E35" s="133" t="s">
        <v>1172</v>
      </c>
      <c r="F35" s="41">
        <f t="shared" si="0"/>
        <v>1</v>
      </c>
      <c r="H35" s="138" t="s">
        <v>1317</v>
      </c>
      <c r="I35" s="138" t="s">
        <v>1318</v>
      </c>
      <c r="J35" s="139" t="s">
        <v>1319</v>
      </c>
      <c r="K35" s="139" t="s">
        <v>1320</v>
      </c>
    </row>
    <row r="36" spans="1:11">
      <c r="A36" s="134" t="s">
        <v>798</v>
      </c>
      <c r="B36" s="132" t="s">
        <v>144</v>
      </c>
      <c r="C36" s="133" t="s">
        <v>1321</v>
      </c>
      <c r="D36" s="134" t="s">
        <v>798</v>
      </c>
      <c r="E36" s="133" t="s">
        <v>1322</v>
      </c>
      <c r="F36" s="41">
        <f t="shared" si="0"/>
        <v>2</v>
      </c>
      <c r="H36" s="138" t="s">
        <v>1323</v>
      </c>
      <c r="I36" s="138" t="s">
        <v>1324</v>
      </c>
      <c r="J36" s="139" t="s">
        <v>1325</v>
      </c>
      <c r="K36" s="139" t="s">
        <v>1326</v>
      </c>
    </row>
    <row r="37" spans="1:11">
      <c r="A37" s="134" t="s">
        <v>801</v>
      </c>
      <c r="B37" s="132" t="s">
        <v>145</v>
      </c>
      <c r="C37" s="133" t="s">
        <v>1327</v>
      </c>
      <c r="D37" s="134" t="s">
        <v>801</v>
      </c>
      <c r="E37" s="133" t="s">
        <v>1328</v>
      </c>
      <c r="F37" s="41">
        <f t="shared" si="0"/>
        <v>1</v>
      </c>
      <c r="H37" s="138" t="s">
        <v>1329</v>
      </c>
      <c r="I37" s="138" t="s">
        <v>1330</v>
      </c>
      <c r="J37" s="139" t="s">
        <v>1331</v>
      </c>
      <c r="K37" s="139" t="s">
        <v>1332</v>
      </c>
    </row>
    <row r="38" spans="1:11">
      <c r="A38" s="131" t="s">
        <v>802</v>
      </c>
      <c r="B38" s="129" t="s">
        <v>41</v>
      </c>
      <c r="C38" s="130" t="s">
        <v>1333</v>
      </c>
      <c r="D38" s="131" t="s">
        <v>802</v>
      </c>
      <c r="E38" s="130" t="s">
        <v>1334</v>
      </c>
      <c r="F38" s="41">
        <f t="shared" si="0"/>
        <v>1</v>
      </c>
      <c r="H38" s="138" t="s">
        <v>1335</v>
      </c>
      <c r="I38" s="138" t="s">
        <v>1336</v>
      </c>
      <c r="J38" s="139" t="s">
        <v>1337</v>
      </c>
      <c r="K38" s="139" t="s">
        <v>1338</v>
      </c>
    </row>
    <row r="39" spans="1:11">
      <c r="A39" s="134" t="s">
        <v>805</v>
      </c>
      <c r="B39" s="132" t="s">
        <v>44</v>
      </c>
      <c r="C39" s="133" t="s">
        <v>1339</v>
      </c>
      <c r="D39" s="134" t="s">
        <v>805</v>
      </c>
      <c r="E39" s="133" t="s">
        <v>1340</v>
      </c>
      <c r="F39" s="41">
        <f t="shared" si="0"/>
        <v>3</v>
      </c>
      <c r="H39" s="138" t="s">
        <v>1341</v>
      </c>
      <c r="I39" s="138" t="s">
        <v>1342</v>
      </c>
      <c r="J39" s="139" t="s">
        <v>1343</v>
      </c>
      <c r="K39" s="139" t="s">
        <v>1344</v>
      </c>
    </row>
    <row r="40" spans="1:11" ht="24.75">
      <c r="A40" s="134" t="s">
        <v>806</v>
      </c>
      <c r="B40" s="132" t="s">
        <v>42</v>
      </c>
      <c r="C40" s="133" t="s">
        <v>1345</v>
      </c>
      <c r="D40" s="134" t="s">
        <v>806</v>
      </c>
      <c r="E40" s="133" t="s">
        <v>1346</v>
      </c>
      <c r="F40" s="41">
        <f t="shared" si="0"/>
        <v>1</v>
      </c>
      <c r="H40" s="138" t="s">
        <v>1347</v>
      </c>
      <c r="I40" s="138" t="s">
        <v>1348</v>
      </c>
      <c r="J40" s="139" t="s">
        <v>1349</v>
      </c>
      <c r="K40" s="139" t="s">
        <v>1350</v>
      </c>
    </row>
    <row r="41" spans="1:11">
      <c r="A41" s="134" t="s">
        <v>809</v>
      </c>
      <c r="B41" s="132" t="s">
        <v>45</v>
      </c>
      <c r="C41" s="133" t="s">
        <v>1351</v>
      </c>
      <c r="D41" s="134" t="s">
        <v>809</v>
      </c>
      <c r="E41" s="133" t="s">
        <v>1352</v>
      </c>
      <c r="F41" s="41">
        <f t="shared" si="0"/>
        <v>3</v>
      </c>
      <c r="H41" s="138" t="s">
        <v>1353</v>
      </c>
      <c r="I41" s="138" t="s">
        <v>1354</v>
      </c>
      <c r="J41" s="139" t="s">
        <v>1355</v>
      </c>
      <c r="K41" s="139" t="s">
        <v>1356</v>
      </c>
    </row>
    <row r="42" spans="1:11">
      <c r="A42" s="134" t="s">
        <v>812</v>
      </c>
      <c r="B42" s="132" t="s">
        <v>77</v>
      </c>
      <c r="C42" s="133" t="s">
        <v>1357</v>
      </c>
      <c r="D42" s="134" t="s">
        <v>812</v>
      </c>
      <c r="E42" s="133" t="s">
        <v>1358</v>
      </c>
      <c r="F42" s="41">
        <f t="shared" si="0"/>
        <v>1</v>
      </c>
      <c r="H42" s="138" t="s">
        <v>1359</v>
      </c>
      <c r="I42" s="138" t="s">
        <v>1360</v>
      </c>
      <c r="J42" s="139" t="s">
        <v>1361</v>
      </c>
      <c r="K42" s="139" t="s">
        <v>1362</v>
      </c>
    </row>
    <row r="43" spans="1:11">
      <c r="A43" s="134" t="s">
        <v>815</v>
      </c>
      <c r="B43" s="132" t="s">
        <v>150</v>
      </c>
      <c r="C43" s="133" t="s">
        <v>1363</v>
      </c>
      <c r="D43" s="134" t="s">
        <v>815</v>
      </c>
      <c r="E43" s="133" t="s">
        <v>1364</v>
      </c>
      <c r="F43" s="41">
        <f t="shared" si="0"/>
        <v>1</v>
      </c>
      <c r="H43" s="138" t="s">
        <v>1365</v>
      </c>
      <c r="I43" s="138" t="s">
        <v>1366</v>
      </c>
      <c r="J43" s="139" t="s">
        <v>1367</v>
      </c>
      <c r="K43" s="139" t="s">
        <v>1368</v>
      </c>
    </row>
    <row r="44" spans="1:11">
      <c r="A44" s="134" t="s">
        <v>819</v>
      </c>
      <c r="B44" s="132" t="s">
        <v>73</v>
      </c>
      <c r="C44" s="133" t="s">
        <v>1369</v>
      </c>
      <c r="D44" s="134" t="s">
        <v>819</v>
      </c>
      <c r="E44" s="133" t="s">
        <v>1370</v>
      </c>
      <c r="F44" s="41">
        <f t="shared" si="0"/>
        <v>1</v>
      </c>
      <c r="H44" s="138" t="s">
        <v>1371</v>
      </c>
      <c r="I44" s="138" t="s">
        <v>1372</v>
      </c>
      <c r="J44" s="139" t="s">
        <v>1373</v>
      </c>
      <c r="K44" s="139" t="s">
        <v>1374</v>
      </c>
    </row>
    <row r="45" spans="1:11" ht="27">
      <c r="A45" s="134" t="s">
        <v>819</v>
      </c>
      <c r="B45" s="132" t="s">
        <v>75</v>
      </c>
      <c r="C45" s="133" t="s">
        <v>1171</v>
      </c>
      <c r="D45" s="134" t="s">
        <v>819</v>
      </c>
      <c r="E45" s="133" t="s">
        <v>1172</v>
      </c>
      <c r="F45" s="41">
        <f t="shared" si="0"/>
        <v>1</v>
      </c>
      <c r="H45" s="138" t="s">
        <v>1375</v>
      </c>
      <c r="I45" s="138" t="s">
        <v>1376</v>
      </c>
      <c r="J45" s="139" t="s">
        <v>1377</v>
      </c>
      <c r="K45" s="139" t="s">
        <v>1378</v>
      </c>
    </row>
    <row r="46" spans="1:11" ht="27">
      <c r="A46" s="131" t="s">
        <v>822</v>
      </c>
      <c r="B46" s="129" t="s">
        <v>821</v>
      </c>
      <c r="C46" s="130" t="s">
        <v>1379</v>
      </c>
      <c r="D46" s="131" t="s">
        <v>822</v>
      </c>
      <c r="E46" s="130" t="s">
        <v>1380</v>
      </c>
      <c r="F46" s="41">
        <f t="shared" si="0"/>
        <v>1</v>
      </c>
      <c r="H46" s="138" t="s">
        <v>1381</v>
      </c>
      <c r="I46" s="138" t="s">
        <v>1382</v>
      </c>
      <c r="J46" s="139" t="s">
        <v>1383</v>
      </c>
      <c r="K46" s="139" t="s">
        <v>1384</v>
      </c>
    </row>
    <row r="47" spans="1:11" ht="27">
      <c r="A47" s="134" t="s">
        <v>824</v>
      </c>
      <c r="B47" s="132" t="s">
        <v>124</v>
      </c>
      <c r="C47" s="133" t="s">
        <v>1385</v>
      </c>
      <c r="D47" s="134" t="s">
        <v>824</v>
      </c>
      <c r="E47" s="133" t="s">
        <v>1386</v>
      </c>
      <c r="F47" s="41">
        <f t="shared" si="0"/>
        <v>1</v>
      </c>
      <c r="H47" s="138" t="s">
        <v>1387</v>
      </c>
      <c r="I47" s="138" t="s">
        <v>1388</v>
      </c>
      <c r="J47" s="139" t="s">
        <v>1389</v>
      </c>
      <c r="K47" s="139" t="s">
        <v>1390</v>
      </c>
    </row>
    <row r="48" spans="1:11" ht="27">
      <c r="A48" s="131" t="s">
        <v>828</v>
      </c>
      <c r="B48" s="129" t="s">
        <v>827</v>
      </c>
      <c r="C48" s="130" t="s">
        <v>1391</v>
      </c>
      <c r="D48" s="131" t="s">
        <v>828</v>
      </c>
      <c r="E48" s="130" t="s">
        <v>1392</v>
      </c>
      <c r="F48" s="41">
        <f t="shared" si="0"/>
        <v>1</v>
      </c>
      <c r="H48" s="138" t="s">
        <v>1393</v>
      </c>
      <c r="I48" s="138" t="s">
        <v>1394</v>
      </c>
      <c r="J48" s="139" t="s">
        <v>1395</v>
      </c>
      <c r="K48" s="139" t="s">
        <v>1396</v>
      </c>
    </row>
    <row r="49" spans="1:11" ht="27">
      <c r="A49" s="134" t="s">
        <v>830</v>
      </c>
      <c r="B49" s="132" t="s">
        <v>122</v>
      </c>
      <c r="C49" s="133" t="s">
        <v>1397</v>
      </c>
      <c r="D49" s="134" t="s">
        <v>830</v>
      </c>
      <c r="E49" s="133" t="s">
        <v>1398</v>
      </c>
      <c r="F49" s="41">
        <f t="shared" si="0"/>
        <v>1</v>
      </c>
      <c r="H49" s="138" t="s">
        <v>1399</v>
      </c>
      <c r="I49" s="138" t="s">
        <v>1400</v>
      </c>
      <c r="J49" s="139" t="s">
        <v>1401</v>
      </c>
      <c r="K49" s="139" t="s">
        <v>1402</v>
      </c>
    </row>
    <row r="50" spans="1:11">
      <c r="A50" s="134" t="s">
        <v>832</v>
      </c>
      <c r="B50" s="132" t="s">
        <v>123</v>
      </c>
      <c r="C50" s="133" t="s">
        <v>1403</v>
      </c>
      <c r="D50" s="134" t="s">
        <v>832</v>
      </c>
      <c r="E50" s="133" t="s">
        <v>1404</v>
      </c>
      <c r="F50" s="41">
        <f t="shared" si="0"/>
        <v>1</v>
      </c>
      <c r="H50" s="138" t="s">
        <v>1405</v>
      </c>
      <c r="I50" s="138" t="s">
        <v>1406</v>
      </c>
      <c r="J50" s="139" t="s">
        <v>1407</v>
      </c>
      <c r="K50" s="139" t="s">
        <v>1408</v>
      </c>
    </row>
    <row r="51" spans="1:11">
      <c r="A51" s="131" t="s">
        <v>835</v>
      </c>
      <c r="B51" s="129" t="s">
        <v>834</v>
      </c>
      <c r="C51" s="130" t="s">
        <v>1409</v>
      </c>
      <c r="D51" s="131" t="s">
        <v>835</v>
      </c>
      <c r="E51" s="130" t="s">
        <v>1410</v>
      </c>
      <c r="F51" s="41">
        <f t="shared" si="0"/>
        <v>1</v>
      </c>
      <c r="H51" s="138" t="s">
        <v>1411</v>
      </c>
      <c r="I51" s="138" t="s">
        <v>1412</v>
      </c>
      <c r="J51" s="139" t="s">
        <v>1413</v>
      </c>
      <c r="K51" s="139" t="s">
        <v>1414</v>
      </c>
    </row>
    <row r="52" spans="1:11" ht="27">
      <c r="A52" s="134" t="s">
        <v>837</v>
      </c>
      <c r="B52" s="132" t="s">
        <v>54</v>
      </c>
      <c r="C52" s="133" t="s">
        <v>1415</v>
      </c>
      <c r="D52" s="134" t="s">
        <v>837</v>
      </c>
      <c r="E52" s="133" t="s">
        <v>1416</v>
      </c>
      <c r="F52" s="41">
        <f t="shared" si="0"/>
        <v>1</v>
      </c>
      <c r="H52" s="138" t="s">
        <v>1417</v>
      </c>
      <c r="I52" s="138" t="s">
        <v>1418</v>
      </c>
      <c r="J52" s="139" t="s">
        <v>1419</v>
      </c>
      <c r="K52" s="139" t="s">
        <v>1420</v>
      </c>
    </row>
    <row r="53" spans="1:11">
      <c r="A53" s="134" t="s">
        <v>839</v>
      </c>
      <c r="B53" s="132" t="s">
        <v>53</v>
      </c>
      <c r="C53" s="133" t="s">
        <v>1421</v>
      </c>
      <c r="D53" s="134" t="s">
        <v>839</v>
      </c>
      <c r="E53" s="133" t="s">
        <v>1422</v>
      </c>
      <c r="F53" s="41">
        <f t="shared" si="0"/>
        <v>1</v>
      </c>
      <c r="H53" s="138" t="s">
        <v>1423</v>
      </c>
      <c r="I53" s="138" t="s">
        <v>1424</v>
      </c>
      <c r="J53" s="139" t="s">
        <v>1425</v>
      </c>
      <c r="K53" s="139" t="s">
        <v>1426</v>
      </c>
    </row>
    <row r="54" spans="1:11">
      <c r="A54" s="134" t="s">
        <v>843</v>
      </c>
      <c r="B54" s="132" t="s">
        <v>128</v>
      </c>
      <c r="C54" s="133" t="s">
        <v>842</v>
      </c>
      <c r="D54" s="134" t="s">
        <v>843</v>
      </c>
      <c r="E54" s="133" t="s">
        <v>1427</v>
      </c>
      <c r="F54" s="41">
        <f t="shared" si="0"/>
        <v>1</v>
      </c>
      <c r="H54" s="138" t="s">
        <v>1428</v>
      </c>
      <c r="I54" s="138" t="s">
        <v>1429</v>
      </c>
      <c r="J54" s="139" t="s">
        <v>1430</v>
      </c>
      <c r="K54" s="139" t="s">
        <v>1431</v>
      </c>
    </row>
    <row r="55" spans="1:11" ht="27">
      <c r="A55" s="134" t="s">
        <v>771</v>
      </c>
      <c r="B55" s="132" t="s">
        <v>159</v>
      </c>
      <c r="C55" s="133" t="s">
        <v>1432</v>
      </c>
      <c r="D55" s="134" t="s">
        <v>771</v>
      </c>
      <c r="E55" s="133" t="s">
        <v>1433</v>
      </c>
      <c r="F55" s="41">
        <f t="shared" si="0"/>
        <v>1</v>
      </c>
      <c r="H55" s="138" t="s">
        <v>1434</v>
      </c>
      <c r="I55" s="138" t="s">
        <v>1435</v>
      </c>
      <c r="J55" s="139" t="s">
        <v>1436</v>
      </c>
      <c r="K55" s="139" t="s">
        <v>1437</v>
      </c>
    </row>
    <row r="56" spans="1:11">
      <c r="A56" s="134" t="s">
        <v>750</v>
      </c>
      <c r="B56" s="132" t="s">
        <v>265</v>
      </c>
      <c r="C56" s="133" t="s">
        <v>750</v>
      </c>
      <c r="D56" s="134" t="s">
        <v>750</v>
      </c>
      <c r="E56" s="133" t="s">
        <v>750</v>
      </c>
      <c r="F56" s="41">
        <f t="shared" si="0"/>
        <v>1</v>
      </c>
      <c r="H56" s="138" t="s">
        <v>1438</v>
      </c>
      <c r="I56" s="138" t="s">
        <v>1439</v>
      </c>
      <c r="J56" s="139" t="s">
        <v>1440</v>
      </c>
      <c r="K56" s="139" t="s">
        <v>1441</v>
      </c>
    </row>
    <row r="57" spans="1:11">
      <c r="A57" s="131" t="s">
        <v>852</v>
      </c>
      <c r="B57" s="129" t="s">
        <v>851</v>
      </c>
      <c r="C57" s="130" t="s">
        <v>1442</v>
      </c>
      <c r="D57" s="131" t="s">
        <v>852</v>
      </c>
      <c r="E57" s="130" t="s">
        <v>1443</v>
      </c>
      <c r="F57" s="41">
        <f t="shared" si="0"/>
        <v>1</v>
      </c>
      <c r="H57" s="138" t="s">
        <v>1444</v>
      </c>
      <c r="I57" s="138" t="s">
        <v>1445</v>
      </c>
      <c r="J57" s="139" t="s">
        <v>1446</v>
      </c>
      <c r="K57" s="139" t="s">
        <v>1447</v>
      </c>
    </row>
    <row r="58" spans="1:11">
      <c r="A58" s="134" t="s">
        <v>839</v>
      </c>
      <c r="B58" s="132" t="s">
        <v>854</v>
      </c>
      <c r="C58" s="133" t="s">
        <v>1421</v>
      </c>
      <c r="D58" s="134" t="s">
        <v>839</v>
      </c>
      <c r="E58" s="133" t="s">
        <v>1422</v>
      </c>
      <c r="F58" s="41">
        <f t="shared" si="0"/>
        <v>1</v>
      </c>
      <c r="H58" s="138" t="s">
        <v>1448</v>
      </c>
      <c r="I58" s="138" t="s">
        <v>1449</v>
      </c>
      <c r="J58" s="139" t="s">
        <v>1450</v>
      </c>
      <c r="K58" s="139" t="s">
        <v>1451</v>
      </c>
    </row>
    <row r="59" spans="1:11">
      <c r="A59" s="134" t="s">
        <v>857</v>
      </c>
      <c r="B59" s="132" t="s">
        <v>52</v>
      </c>
      <c r="C59" s="133" t="s">
        <v>1452</v>
      </c>
      <c r="D59" s="134" t="s">
        <v>857</v>
      </c>
      <c r="E59" s="133" t="s">
        <v>1453</v>
      </c>
      <c r="F59" s="41">
        <f t="shared" si="0"/>
        <v>1</v>
      </c>
      <c r="H59" s="138" t="s">
        <v>1454</v>
      </c>
      <c r="I59" s="138" t="s">
        <v>1455</v>
      </c>
      <c r="J59" s="139" t="s">
        <v>1456</v>
      </c>
      <c r="K59" s="139" t="s">
        <v>1457</v>
      </c>
    </row>
    <row r="60" spans="1:11">
      <c r="A60" s="134" t="s">
        <v>858</v>
      </c>
      <c r="B60" s="132" t="s">
        <v>131</v>
      </c>
      <c r="C60" s="133" t="s">
        <v>1458</v>
      </c>
      <c r="D60" s="134" t="s">
        <v>858</v>
      </c>
      <c r="E60" s="133" t="s">
        <v>1459</v>
      </c>
      <c r="F60" s="41">
        <f t="shared" si="0"/>
        <v>1</v>
      </c>
      <c r="H60" s="138" t="s">
        <v>1460</v>
      </c>
      <c r="I60" s="138" t="s">
        <v>1461</v>
      </c>
      <c r="J60" s="139" t="s">
        <v>1462</v>
      </c>
      <c r="K60" s="139" t="s">
        <v>1463</v>
      </c>
    </row>
    <row r="61" spans="1:11">
      <c r="A61" s="131" t="s">
        <v>861</v>
      </c>
      <c r="B61" s="129" t="s">
        <v>860</v>
      </c>
      <c r="C61" s="130" t="s">
        <v>1464</v>
      </c>
      <c r="D61" s="131" t="s">
        <v>861</v>
      </c>
      <c r="E61" s="130" t="s">
        <v>1465</v>
      </c>
      <c r="F61" s="41">
        <f t="shared" si="0"/>
        <v>1</v>
      </c>
      <c r="H61" s="138" t="s">
        <v>1466</v>
      </c>
      <c r="I61" s="138" t="s">
        <v>1467</v>
      </c>
      <c r="J61" s="139" t="s">
        <v>1468</v>
      </c>
      <c r="K61" s="139" t="s">
        <v>1469</v>
      </c>
    </row>
    <row r="62" spans="1:11" ht="27">
      <c r="A62" s="134" t="s">
        <v>862</v>
      </c>
      <c r="B62" s="132" t="s">
        <v>129</v>
      </c>
      <c r="C62" s="133" t="s">
        <v>1470</v>
      </c>
      <c r="D62" s="134" t="s">
        <v>862</v>
      </c>
      <c r="E62" s="133" t="s">
        <v>1471</v>
      </c>
      <c r="F62" s="41">
        <f t="shared" si="0"/>
        <v>1</v>
      </c>
      <c r="H62" s="138" t="s">
        <v>1472</v>
      </c>
      <c r="I62" s="138" t="s">
        <v>1473</v>
      </c>
      <c r="J62" s="139" t="s">
        <v>1474</v>
      </c>
      <c r="K62" s="139" t="s">
        <v>1475</v>
      </c>
    </row>
    <row r="63" spans="1:11" ht="27">
      <c r="A63" s="134" t="s">
        <v>864</v>
      </c>
      <c r="B63" s="132" t="s">
        <v>130</v>
      </c>
      <c r="C63" s="133" t="s">
        <v>1476</v>
      </c>
      <c r="D63" s="134" t="s">
        <v>864</v>
      </c>
      <c r="E63" s="133" t="s">
        <v>1477</v>
      </c>
      <c r="F63" s="41">
        <f t="shared" si="0"/>
        <v>1</v>
      </c>
      <c r="H63" s="138" t="s">
        <v>1478</v>
      </c>
      <c r="I63" s="138" t="s">
        <v>1479</v>
      </c>
      <c r="J63" s="139" t="s">
        <v>1480</v>
      </c>
      <c r="K63" s="139" t="s">
        <v>1481</v>
      </c>
    </row>
    <row r="64" spans="1:11">
      <c r="A64" s="131" t="s">
        <v>866</v>
      </c>
      <c r="B64" s="129" t="s">
        <v>170</v>
      </c>
      <c r="C64" s="130" t="s">
        <v>1482</v>
      </c>
      <c r="D64" s="131" t="s">
        <v>866</v>
      </c>
      <c r="E64" s="130" t="s">
        <v>1483</v>
      </c>
      <c r="F64" s="41">
        <f t="shared" si="0"/>
        <v>1</v>
      </c>
      <c r="H64" s="138" t="s">
        <v>1484</v>
      </c>
      <c r="I64" s="138" t="s">
        <v>1485</v>
      </c>
      <c r="J64" s="139" t="s">
        <v>1486</v>
      </c>
      <c r="K64" s="139" t="s">
        <v>1487</v>
      </c>
    </row>
    <row r="65" spans="1:11">
      <c r="A65" s="134" t="s">
        <v>867</v>
      </c>
      <c r="B65" s="132" t="s">
        <v>171</v>
      </c>
      <c r="C65" s="133" t="s">
        <v>1488</v>
      </c>
      <c r="D65" s="134" t="s">
        <v>867</v>
      </c>
      <c r="E65" s="133" t="s">
        <v>1489</v>
      </c>
      <c r="F65" s="41">
        <f t="shared" si="0"/>
        <v>1</v>
      </c>
      <c r="H65" s="138" t="s">
        <v>1490</v>
      </c>
      <c r="I65" s="138" t="s">
        <v>1491</v>
      </c>
      <c r="J65" s="139" t="s">
        <v>1492</v>
      </c>
      <c r="K65" s="139" t="s">
        <v>1493</v>
      </c>
    </row>
    <row r="66" spans="1:11" ht="32.25">
      <c r="A66" s="134" t="s">
        <v>868</v>
      </c>
      <c r="B66" s="132" t="s">
        <v>172</v>
      </c>
      <c r="C66" s="133" t="s">
        <v>1494</v>
      </c>
      <c r="D66" s="134" t="s">
        <v>868</v>
      </c>
      <c r="E66" s="133" t="s">
        <v>1495</v>
      </c>
      <c r="F66" s="41">
        <f t="shared" si="0"/>
        <v>1</v>
      </c>
      <c r="H66" s="138" t="s">
        <v>1496</v>
      </c>
      <c r="I66" s="138" t="s">
        <v>1497</v>
      </c>
      <c r="J66" s="139" t="s">
        <v>1498</v>
      </c>
      <c r="K66" s="139" t="s">
        <v>1499</v>
      </c>
    </row>
    <row r="67" spans="1:11" ht="27">
      <c r="A67" s="134" t="s">
        <v>871</v>
      </c>
      <c r="B67" s="132" t="s">
        <v>870</v>
      </c>
      <c r="C67" s="133" t="s">
        <v>1500</v>
      </c>
      <c r="D67" s="134" t="s">
        <v>871</v>
      </c>
      <c r="E67" s="133" t="s">
        <v>1501</v>
      </c>
      <c r="F67" s="41">
        <f t="shared" ref="F67:F130" si="1">COUNTIF(B:B,B67)</f>
        <v>1</v>
      </c>
      <c r="H67" s="138" t="s">
        <v>1502</v>
      </c>
      <c r="I67" s="138" t="s">
        <v>1503</v>
      </c>
      <c r="J67" s="139" t="s">
        <v>1504</v>
      </c>
      <c r="K67" s="139" t="s">
        <v>1505</v>
      </c>
    </row>
    <row r="68" spans="1:11">
      <c r="A68" s="131" t="s">
        <v>873</v>
      </c>
      <c r="B68" s="129" t="s">
        <v>152</v>
      </c>
      <c r="C68" s="130" t="s">
        <v>1506</v>
      </c>
      <c r="D68" s="131" t="s">
        <v>873</v>
      </c>
      <c r="E68" s="130" t="s">
        <v>1507</v>
      </c>
      <c r="F68" s="41">
        <f t="shared" si="1"/>
        <v>1</v>
      </c>
      <c r="H68" s="138" t="s">
        <v>1508</v>
      </c>
      <c r="I68" s="138" t="s">
        <v>1509</v>
      </c>
      <c r="J68" s="139" t="s">
        <v>1510</v>
      </c>
      <c r="K68" s="139" t="s">
        <v>1511</v>
      </c>
    </row>
    <row r="69" spans="1:11">
      <c r="A69" s="134" t="s">
        <v>876</v>
      </c>
      <c r="B69" s="132" t="s">
        <v>875</v>
      </c>
      <c r="C69" s="133" t="s">
        <v>1512</v>
      </c>
      <c r="D69" s="134" t="s">
        <v>876</v>
      </c>
      <c r="E69" s="133" t="s">
        <v>1513</v>
      </c>
      <c r="F69" s="41">
        <f t="shared" si="1"/>
        <v>1</v>
      </c>
      <c r="H69" s="138" t="s">
        <v>1514</v>
      </c>
      <c r="I69" s="138" t="s">
        <v>1515</v>
      </c>
      <c r="J69" s="139" t="s">
        <v>1516</v>
      </c>
      <c r="K69" s="139" t="s">
        <v>1517</v>
      </c>
    </row>
    <row r="70" spans="1:11">
      <c r="A70" s="134" t="s">
        <v>879</v>
      </c>
      <c r="B70" s="132" t="s">
        <v>878</v>
      </c>
      <c r="C70" s="133" t="s">
        <v>1518</v>
      </c>
      <c r="D70" s="134" t="s">
        <v>879</v>
      </c>
      <c r="E70" s="133" t="s">
        <v>1519</v>
      </c>
      <c r="F70" s="41">
        <f t="shared" si="1"/>
        <v>1</v>
      </c>
      <c r="H70" s="138" t="s">
        <v>1520</v>
      </c>
      <c r="I70" s="138" t="s">
        <v>1521</v>
      </c>
      <c r="J70" s="139" t="s">
        <v>1522</v>
      </c>
      <c r="K70" s="139" t="s">
        <v>1523</v>
      </c>
    </row>
    <row r="71" spans="1:11" ht="24.75">
      <c r="A71" s="131" t="s">
        <v>881</v>
      </c>
      <c r="B71" s="129" t="s">
        <v>47</v>
      </c>
      <c r="C71" s="130" t="s">
        <v>1524</v>
      </c>
      <c r="D71" s="131" t="s">
        <v>881</v>
      </c>
      <c r="E71" s="130" t="s">
        <v>1525</v>
      </c>
      <c r="F71" s="41">
        <f t="shared" si="1"/>
        <v>1</v>
      </c>
      <c r="H71" s="138" t="s">
        <v>1526</v>
      </c>
      <c r="I71" s="138" t="s">
        <v>1527</v>
      </c>
      <c r="J71" s="139" t="s">
        <v>1528</v>
      </c>
      <c r="K71" s="139" t="s">
        <v>1529</v>
      </c>
    </row>
    <row r="72" spans="1:11" ht="27">
      <c r="A72" s="134" t="s">
        <v>882</v>
      </c>
      <c r="B72" s="132" t="s">
        <v>56</v>
      </c>
      <c r="C72" s="133" t="s">
        <v>1530</v>
      </c>
      <c r="D72" s="134" t="s">
        <v>882</v>
      </c>
      <c r="E72" s="133" t="s">
        <v>1531</v>
      </c>
      <c r="F72" s="41">
        <f t="shared" si="1"/>
        <v>1</v>
      </c>
      <c r="H72" s="138" t="s">
        <v>1532</v>
      </c>
      <c r="I72" s="138" t="s">
        <v>1533</v>
      </c>
      <c r="J72" s="139" t="s">
        <v>1534</v>
      </c>
      <c r="K72" s="139" t="s">
        <v>1535</v>
      </c>
    </row>
    <row r="73" spans="1:11">
      <c r="A73" s="134" t="s">
        <v>884</v>
      </c>
      <c r="B73" s="132" t="s">
        <v>48</v>
      </c>
      <c r="C73" s="133" t="s">
        <v>1536</v>
      </c>
      <c r="D73" s="134" t="s">
        <v>884</v>
      </c>
      <c r="E73" s="133" t="s">
        <v>1537</v>
      </c>
      <c r="F73" s="41">
        <f t="shared" si="1"/>
        <v>1</v>
      </c>
      <c r="H73" s="138" t="s">
        <v>1538</v>
      </c>
      <c r="I73" s="138" t="s">
        <v>1539</v>
      </c>
      <c r="J73" s="139" t="s">
        <v>1540</v>
      </c>
      <c r="K73" s="139" t="s">
        <v>1541</v>
      </c>
    </row>
    <row r="74" spans="1:11">
      <c r="A74" s="131" t="s">
        <v>888</v>
      </c>
      <c r="B74" s="129" t="s">
        <v>887</v>
      </c>
      <c r="C74" s="130" t="s">
        <v>1542</v>
      </c>
      <c r="D74" s="131" t="s">
        <v>888</v>
      </c>
      <c r="E74" s="130" t="s">
        <v>1543</v>
      </c>
      <c r="F74" s="41">
        <f t="shared" si="1"/>
        <v>1</v>
      </c>
      <c r="H74" s="138" t="s">
        <v>1544</v>
      </c>
      <c r="I74" s="138" t="s">
        <v>1545</v>
      </c>
      <c r="J74" s="139" t="s">
        <v>1546</v>
      </c>
      <c r="K74" s="139" t="s">
        <v>1547</v>
      </c>
    </row>
    <row r="75" spans="1:11" ht="27">
      <c r="A75" s="134" t="s">
        <v>890</v>
      </c>
      <c r="B75" s="132" t="s">
        <v>174</v>
      </c>
      <c r="C75" s="133" t="s">
        <v>1548</v>
      </c>
      <c r="D75" s="134" t="s">
        <v>890</v>
      </c>
      <c r="E75" s="133" t="s">
        <v>1549</v>
      </c>
      <c r="F75" s="41">
        <f t="shared" si="1"/>
        <v>1</v>
      </c>
      <c r="H75" s="138" t="s">
        <v>1550</v>
      </c>
      <c r="I75" s="138" t="s">
        <v>1551</v>
      </c>
      <c r="J75" s="139" t="s">
        <v>1552</v>
      </c>
      <c r="K75" s="139" t="s">
        <v>1553</v>
      </c>
    </row>
    <row r="76" spans="1:11" ht="27">
      <c r="A76" s="134" t="s">
        <v>892</v>
      </c>
      <c r="B76" s="132" t="s">
        <v>173</v>
      </c>
      <c r="C76" s="133" t="s">
        <v>1554</v>
      </c>
      <c r="D76" s="134" t="s">
        <v>892</v>
      </c>
      <c r="E76" s="133" t="s">
        <v>1555</v>
      </c>
      <c r="F76" s="41">
        <f t="shared" si="1"/>
        <v>1</v>
      </c>
      <c r="H76" s="138" t="s">
        <v>1556</v>
      </c>
      <c r="I76" s="138" t="s">
        <v>1557</v>
      </c>
      <c r="J76" s="139" t="s">
        <v>1558</v>
      </c>
      <c r="K76" s="139" t="s">
        <v>489</v>
      </c>
    </row>
    <row r="77" spans="1:11">
      <c r="A77" s="131" t="s">
        <v>899</v>
      </c>
      <c r="B77" s="129" t="s">
        <v>898</v>
      </c>
      <c r="C77" s="130" t="s">
        <v>1559</v>
      </c>
      <c r="D77" s="131" t="s">
        <v>899</v>
      </c>
      <c r="E77" s="130" t="s">
        <v>1560</v>
      </c>
      <c r="F77" s="41">
        <f t="shared" si="1"/>
        <v>1</v>
      </c>
      <c r="H77" s="138" t="s">
        <v>1561</v>
      </c>
      <c r="I77" s="138" t="s">
        <v>373</v>
      </c>
      <c r="J77" s="139" t="s">
        <v>1562</v>
      </c>
      <c r="K77" s="139" t="s">
        <v>1563</v>
      </c>
    </row>
    <row r="78" spans="1:11" ht="24.75">
      <c r="A78" s="134" t="s">
        <v>1564</v>
      </c>
      <c r="B78" s="132" t="s">
        <v>1000</v>
      </c>
      <c r="C78" s="133" t="s">
        <v>1565</v>
      </c>
      <c r="D78" s="134" t="s">
        <v>1564</v>
      </c>
      <c r="E78" s="133" t="s">
        <v>1566</v>
      </c>
      <c r="F78" s="41">
        <f t="shared" si="1"/>
        <v>1</v>
      </c>
      <c r="H78" s="138" t="s">
        <v>1567</v>
      </c>
      <c r="I78" s="138" t="s">
        <v>1568</v>
      </c>
      <c r="J78" s="139" t="s">
        <v>1569</v>
      </c>
      <c r="K78" s="139" t="s">
        <v>1570</v>
      </c>
    </row>
    <row r="79" spans="1:11">
      <c r="A79" s="131" t="s">
        <v>903</v>
      </c>
      <c r="B79" s="129" t="s">
        <v>166</v>
      </c>
      <c r="C79" s="130" t="s">
        <v>1571</v>
      </c>
      <c r="D79" s="131" t="s">
        <v>903</v>
      </c>
      <c r="E79" s="130" t="s">
        <v>1572</v>
      </c>
      <c r="F79" s="41">
        <f t="shared" si="1"/>
        <v>2</v>
      </c>
      <c r="H79" s="138" t="s">
        <v>1573</v>
      </c>
      <c r="I79" s="138" t="s">
        <v>1574</v>
      </c>
      <c r="J79" s="139" t="s">
        <v>1575</v>
      </c>
      <c r="K79" s="139" t="s">
        <v>316</v>
      </c>
    </row>
    <row r="80" spans="1:11">
      <c r="A80" s="134" t="s">
        <v>738</v>
      </c>
      <c r="B80" s="132" t="s">
        <v>39</v>
      </c>
      <c r="C80" s="133" t="s">
        <v>1576</v>
      </c>
      <c r="D80" s="134" t="s">
        <v>738</v>
      </c>
      <c r="E80" s="133" t="s">
        <v>1172</v>
      </c>
      <c r="F80" s="41">
        <f t="shared" si="1"/>
        <v>3</v>
      </c>
      <c r="H80" s="138" t="s">
        <v>1577</v>
      </c>
      <c r="I80" s="138" t="s">
        <v>1578</v>
      </c>
      <c r="J80" s="139" t="s">
        <v>1579</v>
      </c>
      <c r="K80" s="139" t="s">
        <v>1580</v>
      </c>
    </row>
    <row r="81" spans="1:11">
      <c r="A81" s="134" t="s">
        <v>903</v>
      </c>
      <c r="B81" s="132" t="s">
        <v>166</v>
      </c>
      <c r="C81" s="133" t="s">
        <v>1571</v>
      </c>
      <c r="D81" s="134" t="s">
        <v>903</v>
      </c>
      <c r="E81" s="133" t="s">
        <v>1572</v>
      </c>
      <c r="F81" s="41">
        <f t="shared" si="1"/>
        <v>2</v>
      </c>
      <c r="H81" s="138" t="s">
        <v>1581</v>
      </c>
      <c r="I81" s="138" t="s">
        <v>1582</v>
      </c>
      <c r="J81" s="139" t="s">
        <v>1583</v>
      </c>
      <c r="K81" s="139" t="s">
        <v>1584</v>
      </c>
    </row>
    <row r="82" spans="1:11">
      <c r="A82" s="131" t="s">
        <v>905</v>
      </c>
      <c r="B82" s="129" t="s">
        <v>32</v>
      </c>
      <c r="C82" s="130" t="s">
        <v>1585</v>
      </c>
      <c r="D82" s="131" t="s">
        <v>905</v>
      </c>
      <c r="E82" s="130" t="s">
        <v>1586</v>
      </c>
      <c r="F82" s="41">
        <f t="shared" si="1"/>
        <v>1</v>
      </c>
      <c r="H82" s="138" t="s">
        <v>1587</v>
      </c>
      <c r="I82" s="138" t="s">
        <v>1588</v>
      </c>
      <c r="J82" s="139" t="s">
        <v>1589</v>
      </c>
      <c r="K82" s="139" t="s">
        <v>1590</v>
      </c>
    </row>
    <row r="83" spans="1:11">
      <c r="A83" s="134" t="s">
        <v>907</v>
      </c>
      <c r="B83" s="132" t="s">
        <v>33</v>
      </c>
      <c r="C83" s="133" t="s">
        <v>1591</v>
      </c>
      <c r="D83" s="134" t="s">
        <v>907</v>
      </c>
      <c r="E83" s="133" t="s">
        <v>1592</v>
      </c>
      <c r="F83" s="41">
        <f t="shared" si="1"/>
        <v>1</v>
      </c>
      <c r="H83" s="138" t="s">
        <v>1593</v>
      </c>
      <c r="I83" s="138" t="s">
        <v>1594</v>
      </c>
      <c r="J83" s="139" t="s">
        <v>1595</v>
      </c>
      <c r="K83" s="139" t="s">
        <v>1596</v>
      </c>
    </row>
    <row r="84" spans="1:11">
      <c r="A84" s="134" t="s">
        <v>738</v>
      </c>
      <c r="B84" s="132" t="s">
        <v>39</v>
      </c>
      <c r="C84" s="133" t="s">
        <v>1171</v>
      </c>
      <c r="D84" s="134" t="s">
        <v>738</v>
      </c>
      <c r="E84" s="133" t="s">
        <v>1172</v>
      </c>
      <c r="F84" s="41">
        <f t="shared" si="1"/>
        <v>3</v>
      </c>
      <c r="H84" s="138" t="s">
        <v>1597</v>
      </c>
      <c r="I84" s="138" t="s">
        <v>1598</v>
      </c>
      <c r="J84" s="139" t="s">
        <v>1599</v>
      </c>
      <c r="K84" s="139" t="s">
        <v>1600</v>
      </c>
    </row>
    <row r="85" spans="1:11">
      <c r="A85" s="134" t="s">
        <v>910</v>
      </c>
      <c r="B85" s="132" t="s">
        <v>37</v>
      </c>
      <c r="C85" s="133" t="s">
        <v>1601</v>
      </c>
      <c r="D85" s="134" t="s">
        <v>910</v>
      </c>
      <c r="E85" s="133" t="s">
        <v>1602</v>
      </c>
      <c r="F85" s="41">
        <f t="shared" si="1"/>
        <v>1</v>
      </c>
      <c r="H85" s="138" t="s">
        <v>1603</v>
      </c>
      <c r="I85" s="138" t="s">
        <v>1604</v>
      </c>
      <c r="J85" s="139" t="s">
        <v>1605</v>
      </c>
      <c r="K85" s="139" t="s">
        <v>1606</v>
      </c>
    </row>
    <row r="86" spans="1:11" ht="24.75">
      <c r="A86" s="134" t="s">
        <v>912</v>
      </c>
      <c r="B86" s="132" t="s">
        <v>35</v>
      </c>
      <c r="C86" s="133" t="s">
        <v>1607</v>
      </c>
      <c r="D86" s="134" t="s">
        <v>912</v>
      </c>
      <c r="E86" s="133" t="s">
        <v>1608</v>
      </c>
      <c r="F86" s="41">
        <f t="shared" si="1"/>
        <v>1</v>
      </c>
      <c r="H86" s="138" t="s">
        <v>1609</v>
      </c>
      <c r="I86" s="138" t="s">
        <v>1610</v>
      </c>
      <c r="J86" s="139" t="s">
        <v>1611</v>
      </c>
      <c r="K86" s="139" t="s">
        <v>1612</v>
      </c>
    </row>
    <row r="87" spans="1:11" ht="24.75">
      <c r="A87" s="131" t="s">
        <v>915</v>
      </c>
      <c r="B87" s="129" t="s">
        <v>103</v>
      </c>
      <c r="C87" s="130" t="s">
        <v>1613</v>
      </c>
      <c r="D87" s="131" t="s">
        <v>915</v>
      </c>
      <c r="E87" s="130" t="s">
        <v>1614</v>
      </c>
      <c r="F87" s="41">
        <f t="shared" si="1"/>
        <v>1</v>
      </c>
      <c r="H87" s="138" t="s">
        <v>1615</v>
      </c>
      <c r="I87" s="138" t="s">
        <v>1616</v>
      </c>
      <c r="J87" s="139" t="s">
        <v>1617</v>
      </c>
      <c r="K87" s="139" t="s">
        <v>1618</v>
      </c>
    </row>
    <row r="88" spans="1:11">
      <c r="A88" s="134" t="s">
        <v>916</v>
      </c>
      <c r="B88" s="132" t="s">
        <v>110</v>
      </c>
      <c r="C88" s="133" t="s">
        <v>1619</v>
      </c>
      <c r="D88" s="134" t="s">
        <v>916</v>
      </c>
      <c r="E88" s="133" t="s">
        <v>1620</v>
      </c>
      <c r="F88" s="41">
        <f t="shared" si="1"/>
        <v>1</v>
      </c>
      <c r="H88" s="138" t="s">
        <v>1621</v>
      </c>
      <c r="I88" s="138" t="s">
        <v>1622</v>
      </c>
      <c r="J88" s="139" t="s">
        <v>1623</v>
      </c>
      <c r="K88" s="139" t="s">
        <v>1624</v>
      </c>
    </row>
    <row r="89" spans="1:11">
      <c r="A89" s="134" t="s">
        <v>917</v>
      </c>
      <c r="B89" s="132" t="s">
        <v>111</v>
      </c>
      <c r="C89" s="133" t="s">
        <v>1625</v>
      </c>
      <c r="D89" s="134" t="s">
        <v>917</v>
      </c>
      <c r="E89" s="133" t="s">
        <v>1626</v>
      </c>
      <c r="F89" s="41">
        <f t="shared" si="1"/>
        <v>1</v>
      </c>
      <c r="H89" s="138" t="s">
        <v>1627</v>
      </c>
      <c r="I89" s="138" t="s">
        <v>1628</v>
      </c>
      <c r="J89" s="139" t="s">
        <v>1629</v>
      </c>
      <c r="K89" s="139" t="s">
        <v>1630</v>
      </c>
    </row>
    <row r="90" spans="1:11">
      <c r="A90" s="134" t="s">
        <v>787</v>
      </c>
      <c r="B90" s="132" t="s">
        <v>112</v>
      </c>
      <c r="C90" s="133" t="s">
        <v>1631</v>
      </c>
      <c r="D90" s="134" t="s">
        <v>787</v>
      </c>
      <c r="E90" s="133" t="s">
        <v>1632</v>
      </c>
      <c r="F90" s="41">
        <f t="shared" si="1"/>
        <v>1</v>
      </c>
      <c r="H90" s="138" t="s">
        <v>1633</v>
      </c>
      <c r="I90" s="138" t="s">
        <v>1634</v>
      </c>
      <c r="J90" s="139" t="s">
        <v>1635</v>
      </c>
      <c r="K90" s="139" t="s">
        <v>1636</v>
      </c>
    </row>
    <row r="91" spans="1:11" ht="24.75">
      <c r="A91" s="131" t="s">
        <v>920</v>
      </c>
      <c r="B91" s="129" t="s">
        <v>60</v>
      </c>
      <c r="C91" s="130" t="s">
        <v>1637</v>
      </c>
      <c r="D91" s="131" t="s">
        <v>920</v>
      </c>
      <c r="E91" s="130" t="s">
        <v>1638</v>
      </c>
      <c r="F91" s="41">
        <f t="shared" si="1"/>
        <v>1</v>
      </c>
      <c r="H91" s="138" t="s">
        <v>1639</v>
      </c>
      <c r="I91" s="138" t="s">
        <v>1640</v>
      </c>
      <c r="J91" s="139" t="s">
        <v>1641</v>
      </c>
      <c r="K91" s="139" t="s">
        <v>1642</v>
      </c>
    </row>
    <row r="92" spans="1:11" ht="27">
      <c r="A92" s="134" t="s">
        <v>922</v>
      </c>
      <c r="B92" s="132" t="s">
        <v>81</v>
      </c>
      <c r="C92" s="133" t="s">
        <v>1643</v>
      </c>
      <c r="D92" s="134" t="s">
        <v>922</v>
      </c>
      <c r="E92" s="133" t="s">
        <v>1644</v>
      </c>
      <c r="F92" s="41">
        <f t="shared" si="1"/>
        <v>1</v>
      </c>
      <c r="H92" s="138" t="s">
        <v>1645</v>
      </c>
      <c r="I92" s="138" t="s">
        <v>1646</v>
      </c>
      <c r="J92" s="139" t="s">
        <v>1647</v>
      </c>
      <c r="K92" s="139" t="s">
        <v>1648</v>
      </c>
    </row>
    <row r="93" spans="1:11">
      <c r="A93" s="134" t="s">
        <v>917</v>
      </c>
      <c r="B93" s="132" t="s">
        <v>69</v>
      </c>
      <c r="C93" s="133" t="s">
        <v>1625</v>
      </c>
      <c r="D93" s="134" t="s">
        <v>917</v>
      </c>
      <c r="E93" s="133" t="s">
        <v>1626</v>
      </c>
      <c r="F93" s="41">
        <f t="shared" si="1"/>
        <v>1</v>
      </c>
      <c r="H93" s="138" t="s">
        <v>1649</v>
      </c>
      <c r="I93" s="138" t="s">
        <v>1650</v>
      </c>
      <c r="J93" s="139" t="s">
        <v>1651</v>
      </c>
      <c r="K93" s="139" t="s">
        <v>1652</v>
      </c>
    </row>
    <row r="94" spans="1:11">
      <c r="A94" s="134" t="s">
        <v>926</v>
      </c>
      <c r="B94" s="132" t="s">
        <v>925</v>
      </c>
      <c r="C94" s="133" t="s">
        <v>1653</v>
      </c>
      <c r="D94" s="134" t="s">
        <v>926</v>
      </c>
      <c r="E94" s="133" t="s">
        <v>1654</v>
      </c>
      <c r="F94" s="41">
        <f t="shared" si="1"/>
        <v>1</v>
      </c>
      <c r="H94" s="138" t="s">
        <v>1655</v>
      </c>
      <c r="I94" s="138" t="s">
        <v>1656</v>
      </c>
      <c r="J94" s="139" t="s">
        <v>1657</v>
      </c>
      <c r="K94" s="139" t="s">
        <v>1658</v>
      </c>
    </row>
    <row r="95" spans="1:11">
      <c r="A95" s="134" t="s">
        <v>783</v>
      </c>
      <c r="B95" s="132" t="s">
        <v>71</v>
      </c>
      <c r="C95" s="133" t="s">
        <v>1659</v>
      </c>
      <c r="D95" s="134" t="s">
        <v>783</v>
      </c>
      <c r="E95" s="133" t="s">
        <v>1660</v>
      </c>
      <c r="F95" s="41">
        <f t="shared" si="1"/>
        <v>2</v>
      </c>
      <c r="H95" s="138" t="s">
        <v>1661</v>
      </c>
      <c r="I95" s="138" t="s">
        <v>1662</v>
      </c>
      <c r="J95" s="139" t="s">
        <v>1663</v>
      </c>
      <c r="K95" s="139" t="s">
        <v>1664</v>
      </c>
    </row>
    <row r="96" spans="1:11">
      <c r="A96" s="134" t="s">
        <v>928</v>
      </c>
      <c r="B96" s="132" t="s">
        <v>79</v>
      </c>
      <c r="C96" s="133" t="s">
        <v>1665</v>
      </c>
      <c r="D96" s="134" t="s">
        <v>928</v>
      </c>
      <c r="E96" s="133" t="s">
        <v>1666</v>
      </c>
      <c r="F96" s="41">
        <f t="shared" si="1"/>
        <v>1</v>
      </c>
      <c r="H96" s="138" t="s">
        <v>1667</v>
      </c>
      <c r="I96" s="138" t="s">
        <v>1668</v>
      </c>
      <c r="J96" s="139" t="s">
        <v>1669</v>
      </c>
      <c r="K96" s="139" t="s">
        <v>1670</v>
      </c>
    </row>
    <row r="97" spans="1:11" ht="27">
      <c r="A97" s="134" t="s">
        <v>738</v>
      </c>
      <c r="B97" s="132" t="s">
        <v>78</v>
      </c>
      <c r="C97" s="133" t="s">
        <v>1171</v>
      </c>
      <c r="D97" s="134" t="s">
        <v>738</v>
      </c>
      <c r="E97" s="133" t="s">
        <v>1172</v>
      </c>
      <c r="F97" s="41">
        <f t="shared" si="1"/>
        <v>1</v>
      </c>
      <c r="H97" s="138" t="s">
        <v>1671</v>
      </c>
      <c r="I97" s="138" t="s">
        <v>1672</v>
      </c>
      <c r="J97" s="139" t="s">
        <v>1673</v>
      </c>
      <c r="K97" s="139" t="s">
        <v>1674</v>
      </c>
    </row>
    <row r="98" spans="1:11">
      <c r="A98" s="134" t="s">
        <v>932</v>
      </c>
      <c r="B98" s="132" t="s">
        <v>80</v>
      </c>
      <c r="C98" s="133" t="s">
        <v>1675</v>
      </c>
      <c r="D98" s="134" t="s">
        <v>932</v>
      </c>
      <c r="E98" s="133" t="s">
        <v>1676</v>
      </c>
      <c r="F98" s="41">
        <f t="shared" si="1"/>
        <v>1</v>
      </c>
      <c r="H98" s="138" t="s">
        <v>1677</v>
      </c>
      <c r="I98" s="138" t="s">
        <v>1678</v>
      </c>
      <c r="J98" s="139" t="s">
        <v>1679</v>
      </c>
      <c r="K98" s="139" t="s">
        <v>1680</v>
      </c>
    </row>
    <row r="99" spans="1:11">
      <c r="A99" s="131" t="s">
        <v>933</v>
      </c>
      <c r="B99" s="129" t="s">
        <v>57</v>
      </c>
      <c r="C99" s="130" t="s">
        <v>1681</v>
      </c>
      <c r="D99" s="131" t="s">
        <v>933</v>
      </c>
      <c r="E99" s="130" t="s">
        <v>1682</v>
      </c>
      <c r="F99" s="41">
        <f t="shared" si="1"/>
        <v>1</v>
      </c>
      <c r="H99" s="138" t="s">
        <v>1683</v>
      </c>
      <c r="I99" s="138" t="s">
        <v>1684</v>
      </c>
      <c r="J99" s="139" t="s">
        <v>1685</v>
      </c>
      <c r="K99" s="139" t="s">
        <v>1686</v>
      </c>
    </row>
    <row r="100" spans="1:11" ht="27">
      <c r="A100" s="131" t="s">
        <v>936</v>
      </c>
      <c r="B100" s="129" t="s">
        <v>935</v>
      </c>
      <c r="C100" s="130" t="s">
        <v>1687</v>
      </c>
      <c r="D100" s="131" t="s">
        <v>936</v>
      </c>
      <c r="E100" s="130" t="s">
        <v>1688</v>
      </c>
      <c r="F100" s="41">
        <f t="shared" si="1"/>
        <v>2</v>
      </c>
      <c r="H100" s="138" t="s">
        <v>1689</v>
      </c>
      <c r="I100" s="138" t="s">
        <v>1690</v>
      </c>
      <c r="J100" s="139" t="s">
        <v>1691</v>
      </c>
      <c r="K100" s="139" t="s">
        <v>1692</v>
      </c>
    </row>
    <row r="101" spans="1:11">
      <c r="A101" s="134" t="s">
        <v>738</v>
      </c>
      <c r="B101" s="132" t="s">
        <v>39</v>
      </c>
      <c r="C101" s="133" t="s">
        <v>1576</v>
      </c>
      <c r="D101" s="134" t="s">
        <v>738</v>
      </c>
      <c r="E101" s="133" t="s">
        <v>1172</v>
      </c>
      <c r="F101" s="41">
        <f t="shared" si="1"/>
        <v>3</v>
      </c>
      <c r="H101" s="138" t="s">
        <v>1693</v>
      </c>
      <c r="I101" s="138" t="s">
        <v>1694</v>
      </c>
      <c r="J101" s="139" t="s">
        <v>1695</v>
      </c>
      <c r="K101" s="139" t="s">
        <v>1696</v>
      </c>
    </row>
    <row r="102" spans="1:11" ht="27">
      <c r="A102" s="134" t="s">
        <v>936</v>
      </c>
      <c r="B102" s="132" t="s">
        <v>935</v>
      </c>
      <c r="C102" s="133" t="s">
        <v>1687</v>
      </c>
      <c r="D102" s="134" t="s">
        <v>936</v>
      </c>
      <c r="E102" s="133" t="s">
        <v>1688</v>
      </c>
      <c r="F102" s="41">
        <f t="shared" si="1"/>
        <v>2</v>
      </c>
      <c r="H102" s="138" t="s">
        <v>1697</v>
      </c>
      <c r="I102" s="138" t="s">
        <v>1698</v>
      </c>
      <c r="J102" s="139" t="s">
        <v>1699</v>
      </c>
      <c r="K102" s="139" t="s">
        <v>1700</v>
      </c>
    </row>
    <row r="103" spans="1:11">
      <c r="A103" s="134" t="s">
        <v>942</v>
      </c>
      <c r="B103" s="132" t="s">
        <v>941</v>
      </c>
      <c r="C103" s="133" t="s">
        <v>1701</v>
      </c>
      <c r="D103" s="134" t="s">
        <v>942</v>
      </c>
      <c r="E103" s="133" t="s">
        <v>1702</v>
      </c>
      <c r="F103" s="41">
        <f t="shared" si="1"/>
        <v>1</v>
      </c>
      <c r="H103" s="138" t="s">
        <v>1703</v>
      </c>
      <c r="I103" s="138" t="s">
        <v>1704</v>
      </c>
      <c r="J103" s="139" t="s">
        <v>1705</v>
      </c>
      <c r="K103" s="139" t="s">
        <v>1706</v>
      </c>
    </row>
    <row r="104" spans="1:11">
      <c r="A104" s="134" t="s">
        <v>716</v>
      </c>
      <c r="B104" s="132" t="s">
        <v>137</v>
      </c>
      <c r="C104" s="133" t="s">
        <v>1141</v>
      </c>
      <c r="D104" s="134" t="s">
        <v>716</v>
      </c>
      <c r="E104" s="133" t="s">
        <v>1142</v>
      </c>
      <c r="F104" s="41">
        <f t="shared" si="1"/>
        <v>1</v>
      </c>
      <c r="H104" s="138" t="s">
        <v>1707</v>
      </c>
      <c r="I104" s="138" t="s">
        <v>1708</v>
      </c>
      <c r="J104" s="139" t="s">
        <v>1709</v>
      </c>
      <c r="K104" s="139" t="s">
        <v>1710</v>
      </c>
    </row>
    <row r="105" spans="1:11">
      <c r="A105" s="134" t="s">
        <v>946</v>
      </c>
      <c r="B105" s="132" t="s">
        <v>430</v>
      </c>
      <c r="C105" s="133" t="s">
        <v>1711</v>
      </c>
      <c r="D105" s="134" t="s">
        <v>946</v>
      </c>
      <c r="E105" s="133" t="s">
        <v>1712</v>
      </c>
      <c r="F105" s="41">
        <f t="shared" si="1"/>
        <v>1</v>
      </c>
      <c r="H105" s="138" t="s">
        <v>1713</v>
      </c>
      <c r="I105" s="138" t="s">
        <v>1714</v>
      </c>
      <c r="J105" s="139" t="s">
        <v>1715</v>
      </c>
      <c r="K105" s="139" t="s">
        <v>1716</v>
      </c>
    </row>
    <row r="106" spans="1:11">
      <c r="A106" s="134" t="s">
        <v>948</v>
      </c>
      <c r="B106" s="132" t="s">
        <v>472</v>
      </c>
      <c r="C106" s="133" t="s">
        <v>1717</v>
      </c>
      <c r="D106" s="134" t="s">
        <v>948</v>
      </c>
      <c r="E106" s="133" t="s">
        <v>1718</v>
      </c>
      <c r="F106" s="41">
        <f t="shared" si="1"/>
        <v>1</v>
      </c>
      <c r="H106" s="138" t="s">
        <v>1719</v>
      </c>
      <c r="I106" s="138" t="s">
        <v>1720</v>
      </c>
      <c r="J106" s="139" t="s">
        <v>1721</v>
      </c>
      <c r="K106" s="139" t="s">
        <v>1722</v>
      </c>
    </row>
    <row r="107" spans="1:11" ht="24.75">
      <c r="A107" s="134" t="s">
        <v>950</v>
      </c>
      <c r="B107" s="132" t="s">
        <v>514</v>
      </c>
      <c r="C107" s="133" t="s">
        <v>1723</v>
      </c>
      <c r="D107" s="134" t="s">
        <v>950</v>
      </c>
      <c r="E107" s="133" t="s">
        <v>1724</v>
      </c>
      <c r="F107" s="41">
        <f t="shared" si="1"/>
        <v>1</v>
      </c>
      <c r="H107" s="138" t="s">
        <v>1725</v>
      </c>
      <c r="I107" s="138" t="s">
        <v>1726</v>
      </c>
      <c r="J107" s="139" t="s">
        <v>1727</v>
      </c>
      <c r="K107" s="139" t="s">
        <v>1728</v>
      </c>
    </row>
    <row r="108" spans="1:11">
      <c r="A108" s="134" t="s">
        <v>953</v>
      </c>
      <c r="B108" s="132" t="s">
        <v>593</v>
      </c>
      <c r="C108" s="133" t="s">
        <v>1729</v>
      </c>
      <c r="D108" s="134" t="s">
        <v>953</v>
      </c>
      <c r="E108" s="133" t="s">
        <v>1730</v>
      </c>
      <c r="F108" s="41">
        <f t="shared" si="1"/>
        <v>1</v>
      </c>
      <c r="H108" s="138" t="s">
        <v>1731</v>
      </c>
      <c r="I108" s="138" t="s">
        <v>1732</v>
      </c>
      <c r="J108" s="139" t="s">
        <v>1733</v>
      </c>
      <c r="K108" s="139" t="s">
        <v>1734</v>
      </c>
    </row>
    <row r="109" spans="1:11">
      <c r="A109" s="134" t="s">
        <v>955</v>
      </c>
      <c r="B109" s="132" t="s">
        <v>600</v>
      </c>
      <c r="C109" s="133" t="s">
        <v>1735</v>
      </c>
      <c r="D109" s="134" t="s">
        <v>955</v>
      </c>
      <c r="E109" s="133" t="s">
        <v>1736</v>
      </c>
      <c r="F109" s="41">
        <f t="shared" si="1"/>
        <v>1</v>
      </c>
      <c r="H109" s="138" t="s">
        <v>1737</v>
      </c>
      <c r="I109" s="138" t="s">
        <v>1738</v>
      </c>
      <c r="J109" s="139" t="s">
        <v>1739</v>
      </c>
      <c r="K109" s="139" t="s">
        <v>1740</v>
      </c>
    </row>
    <row r="110" spans="1:11">
      <c r="A110" s="134" t="s">
        <v>957</v>
      </c>
      <c r="B110" s="132" t="s">
        <v>597</v>
      </c>
      <c r="C110" s="133" t="s">
        <v>1741</v>
      </c>
      <c r="D110" s="134" t="s">
        <v>957</v>
      </c>
      <c r="E110" s="133" t="s">
        <v>1742</v>
      </c>
      <c r="F110" s="41">
        <f t="shared" si="1"/>
        <v>1</v>
      </c>
      <c r="H110" s="138" t="s">
        <v>1743</v>
      </c>
      <c r="I110" s="138" t="s">
        <v>1744</v>
      </c>
      <c r="J110" s="139" t="s">
        <v>1745</v>
      </c>
      <c r="K110" s="139" t="s">
        <v>1746</v>
      </c>
    </row>
    <row r="111" spans="1:11">
      <c r="A111" s="134" t="s">
        <v>960</v>
      </c>
      <c r="B111" s="132" t="s">
        <v>478</v>
      </c>
      <c r="C111" s="133" t="s">
        <v>1747</v>
      </c>
      <c r="D111" s="134" t="s">
        <v>960</v>
      </c>
      <c r="E111" s="133" t="s">
        <v>1748</v>
      </c>
      <c r="F111" s="41">
        <f t="shared" si="1"/>
        <v>1</v>
      </c>
      <c r="H111" s="138" t="s">
        <v>1749</v>
      </c>
      <c r="I111" s="138" t="s">
        <v>1750</v>
      </c>
      <c r="J111" s="139" t="s">
        <v>1751</v>
      </c>
      <c r="K111" s="139" t="s">
        <v>1752</v>
      </c>
    </row>
    <row r="112" spans="1:11">
      <c r="A112" s="134" t="s">
        <v>962</v>
      </c>
      <c r="B112" s="132" t="s">
        <v>436</v>
      </c>
      <c r="C112" s="133" t="s">
        <v>1753</v>
      </c>
      <c r="D112" s="134" t="s">
        <v>962</v>
      </c>
      <c r="E112" s="133" t="s">
        <v>1754</v>
      </c>
      <c r="F112" s="41">
        <f t="shared" si="1"/>
        <v>1</v>
      </c>
      <c r="H112" s="138" t="s">
        <v>1755</v>
      </c>
      <c r="I112" s="138" t="s">
        <v>1756</v>
      </c>
      <c r="J112" s="139" t="s">
        <v>1757</v>
      </c>
      <c r="K112" s="139" t="s">
        <v>1758</v>
      </c>
    </row>
    <row r="113" spans="1:11">
      <c r="A113" s="134" t="s">
        <v>964</v>
      </c>
      <c r="B113" s="132" t="s">
        <v>518</v>
      </c>
      <c r="C113" s="133" t="s">
        <v>1759</v>
      </c>
      <c r="D113" s="134" t="s">
        <v>964</v>
      </c>
      <c r="E113" s="133" t="s">
        <v>1760</v>
      </c>
      <c r="F113" s="41">
        <f t="shared" si="1"/>
        <v>1</v>
      </c>
      <c r="H113" s="138" t="s">
        <v>1761</v>
      </c>
      <c r="I113" s="138" t="s">
        <v>1762</v>
      </c>
      <c r="J113" s="139" t="s">
        <v>1763</v>
      </c>
      <c r="K113" s="139" t="s">
        <v>1764</v>
      </c>
    </row>
    <row r="114" spans="1:11">
      <c r="A114" s="134" t="s">
        <v>966</v>
      </c>
      <c r="B114" s="132" t="s">
        <v>542</v>
      </c>
      <c r="C114" s="133" t="s">
        <v>1765</v>
      </c>
      <c r="D114" s="134" t="s">
        <v>966</v>
      </c>
      <c r="E114" s="133" t="s">
        <v>1766</v>
      </c>
      <c r="F114" s="41">
        <f t="shared" si="1"/>
        <v>1</v>
      </c>
      <c r="H114" s="138" t="s">
        <v>1767</v>
      </c>
      <c r="I114" s="138" t="s">
        <v>1768</v>
      </c>
      <c r="J114" s="139" t="s">
        <v>1769</v>
      </c>
      <c r="K114" s="139" t="s">
        <v>1770</v>
      </c>
    </row>
    <row r="115" spans="1:11">
      <c r="A115" s="134" t="s">
        <v>969</v>
      </c>
      <c r="B115" s="132" t="s">
        <v>481</v>
      </c>
      <c r="C115" s="133" t="s">
        <v>1771</v>
      </c>
      <c r="D115" s="134" t="s">
        <v>969</v>
      </c>
      <c r="E115" s="133" t="s">
        <v>1772</v>
      </c>
      <c r="F115" s="41">
        <f t="shared" si="1"/>
        <v>1</v>
      </c>
      <c r="H115" s="138" t="s">
        <v>1773</v>
      </c>
      <c r="I115" s="138" t="s">
        <v>1774</v>
      </c>
      <c r="J115" s="139" t="s">
        <v>1775</v>
      </c>
      <c r="K115" s="139" t="s">
        <v>1776</v>
      </c>
    </row>
    <row r="116" spans="1:11">
      <c r="A116" s="134" t="s">
        <v>972</v>
      </c>
      <c r="B116" s="132" t="s">
        <v>438</v>
      </c>
      <c r="C116" s="133" t="s">
        <v>1777</v>
      </c>
      <c r="D116" s="134" t="s">
        <v>972</v>
      </c>
      <c r="E116" s="133" t="s">
        <v>1778</v>
      </c>
      <c r="F116" s="41">
        <f t="shared" si="1"/>
        <v>1</v>
      </c>
      <c r="H116" s="138" t="s">
        <v>1779</v>
      </c>
      <c r="I116" s="138" t="s">
        <v>1780</v>
      </c>
      <c r="J116" s="139" t="s">
        <v>1781</v>
      </c>
      <c r="K116" s="139" t="s">
        <v>1782</v>
      </c>
    </row>
    <row r="117" spans="1:11">
      <c r="A117" s="134" t="s">
        <v>975</v>
      </c>
      <c r="B117" s="132" t="s">
        <v>429</v>
      </c>
      <c r="C117" s="133" t="s">
        <v>1783</v>
      </c>
      <c r="D117" s="134" t="s">
        <v>975</v>
      </c>
      <c r="E117" s="133" t="s">
        <v>1784</v>
      </c>
      <c r="F117" s="41">
        <f t="shared" si="1"/>
        <v>1</v>
      </c>
      <c r="H117" s="138" t="s">
        <v>1785</v>
      </c>
      <c r="I117" s="138" t="s">
        <v>1786</v>
      </c>
      <c r="J117" s="139" t="s">
        <v>1787</v>
      </c>
      <c r="K117" s="139" t="s">
        <v>1788</v>
      </c>
    </row>
    <row r="118" spans="1:11">
      <c r="A118" s="134" t="s">
        <v>977</v>
      </c>
      <c r="B118" s="132" t="s">
        <v>471</v>
      </c>
      <c r="C118" s="133" t="s">
        <v>1789</v>
      </c>
      <c r="D118" s="134" t="s">
        <v>977</v>
      </c>
      <c r="E118" s="133" t="s">
        <v>1790</v>
      </c>
      <c r="F118" s="41">
        <f t="shared" si="1"/>
        <v>1</v>
      </c>
      <c r="H118" s="138" t="s">
        <v>1791</v>
      </c>
      <c r="I118" s="138" t="s">
        <v>1792</v>
      </c>
      <c r="J118" s="139" t="s">
        <v>1793</v>
      </c>
      <c r="K118" s="139" t="s">
        <v>1794</v>
      </c>
    </row>
    <row r="119" spans="1:11">
      <c r="A119" s="134" t="s">
        <v>979</v>
      </c>
      <c r="B119" s="132" t="s">
        <v>513</v>
      </c>
      <c r="C119" s="133" t="s">
        <v>1795</v>
      </c>
      <c r="D119" s="134" t="s">
        <v>979</v>
      </c>
      <c r="E119" s="133" t="s">
        <v>1796</v>
      </c>
      <c r="F119" s="41">
        <f t="shared" si="1"/>
        <v>1</v>
      </c>
      <c r="H119" s="138" t="s">
        <v>1797</v>
      </c>
      <c r="I119" s="138" t="s">
        <v>1798</v>
      </c>
      <c r="J119" s="139" t="s">
        <v>1799</v>
      </c>
      <c r="K119" s="139" t="s">
        <v>1800</v>
      </c>
    </row>
    <row r="120" spans="1:11">
      <c r="A120" s="134" t="s">
        <v>983</v>
      </c>
      <c r="B120" s="132" t="s">
        <v>684</v>
      </c>
      <c r="C120" s="133" t="s">
        <v>1801</v>
      </c>
      <c r="D120" s="134" t="s">
        <v>983</v>
      </c>
      <c r="E120" s="133" t="s">
        <v>1802</v>
      </c>
      <c r="F120" s="41">
        <f t="shared" si="1"/>
        <v>1</v>
      </c>
      <c r="H120" s="138" t="s">
        <v>1803</v>
      </c>
      <c r="I120" s="138" t="s">
        <v>1804</v>
      </c>
      <c r="J120" s="139" t="s">
        <v>1805</v>
      </c>
      <c r="K120" s="139" t="s">
        <v>1806</v>
      </c>
    </row>
    <row r="121" spans="1:11">
      <c r="A121" s="134" t="s">
        <v>985</v>
      </c>
      <c r="B121" s="132" t="s">
        <v>681</v>
      </c>
      <c r="C121" s="133" t="s">
        <v>1807</v>
      </c>
      <c r="D121" s="134" t="s">
        <v>985</v>
      </c>
      <c r="E121" s="133" t="s">
        <v>1808</v>
      </c>
      <c r="F121" s="41">
        <f t="shared" si="1"/>
        <v>1</v>
      </c>
      <c r="H121" s="138" t="s">
        <v>1809</v>
      </c>
      <c r="I121" s="138" t="s">
        <v>1810</v>
      </c>
      <c r="J121" s="139" t="s">
        <v>1811</v>
      </c>
      <c r="K121" s="139" t="s">
        <v>1812</v>
      </c>
    </row>
    <row r="122" spans="1:11">
      <c r="A122" s="134" t="s">
        <v>987</v>
      </c>
      <c r="B122" s="132" t="s">
        <v>676</v>
      </c>
      <c r="C122" s="133" t="s">
        <v>1813</v>
      </c>
      <c r="D122" s="134" t="s">
        <v>987</v>
      </c>
      <c r="E122" s="133" t="s">
        <v>1814</v>
      </c>
      <c r="F122" s="41">
        <f t="shared" si="1"/>
        <v>1</v>
      </c>
      <c r="H122" s="138" t="s">
        <v>1815</v>
      </c>
      <c r="I122" s="138" t="s">
        <v>1816</v>
      </c>
      <c r="J122" s="139" t="s">
        <v>1817</v>
      </c>
      <c r="K122" s="139" t="s">
        <v>1818</v>
      </c>
    </row>
    <row r="123" spans="1:11">
      <c r="A123" s="134" t="s">
        <v>990</v>
      </c>
      <c r="B123" s="132" t="s">
        <v>465</v>
      </c>
      <c r="C123" s="133" t="s">
        <v>1819</v>
      </c>
      <c r="D123" s="134" t="s">
        <v>990</v>
      </c>
      <c r="E123" s="133" t="s">
        <v>1820</v>
      </c>
      <c r="F123" s="41">
        <f t="shared" si="1"/>
        <v>1</v>
      </c>
      <c r="H123" s="138" t="s">
        <v>1821</v>
      </c>
      <c r="I123" s="138" t="s">
        <v>1822</v>
      </c>
      <c r="J123" s="139" t="s">
        <v>1823</v>
      </c>
      <c r="K123" s="139" t="s">
        <v>1824</v>
      </c>
    </row>
    <row r="124" spans="1:11">
      <c r="A124" s="134" t="s">
        <v>992</v>
      </c>
      <c r="B124" s="132" t="s">
        <v>423</v>
      </c>
      <c r="C124" s="133" t="s">
        <v>1825</v>
      </c>
      <c r="D124" s="134" t="s">
        <v>992</v>
      </c>
      <c r="E124" s="133" t="s">
        <v>1826</v>
      </c>
      <c r="F124" s="41">
        <f t="shared" si="1"/>
        <v>1</v>
      </c>
      <c r="H124" s="138" t="s">
        <v>1827</v>
      </c>
      <c r="I124" s="138" t="s">
        <v>1828</v>
      </c>
      <c r="J124" s="139" t="s">
        <v>1829</v>
      </c>
      <c r="K124" s="139" t="s">
        <v>1830</v>
      </c>
    </row>
    <row r="125" spans="1:11">
      <c r="A125" s="134" t="s">
        <v>994</v>
      </c>
      <c r="B125" s="132" t="s">
        <v>605</v>
      </c>
      <c r="C125" s="133" t="s">
        <v>1831</v>
      </c>
      <c r="D125" s="134" t="s">
        <v>994</v>
      </c>
      <c r="E125" s="133" t="s">
        <v>1832</v>
      </c>
      <c r="F125" s="41">
        <f t="shared" si="1"/>
        <v>1</v>
      </c>
      <c r="H125" s="138" t="s">
        <v>1833</v>
      </c>
      <c r="I125" s="138" t="s">
        <v>1834</v>
      </c>
      <c r="J125" s="139" t="s">
        <v>1835</v>
      </c>
      <c r="K125" s="139" t="s">
        <v>1836</v>
      </c>
    </row>
    <row r="126" spans="1:11">
      <c r="A126" s="134" t="s">
        <v>996</v>
      </c>
      <c r="B126" s="132" t="s">
        <v>608</v>
      </c>
      <c r="C126" s="133" t="s">
        <v>1837</v>
      </c>
      <c r="D126" s="134" t="s">
        <v>996</v>
      </c>
      <c r="E126" s="133" t="s">
        <v>1838</v>
      </c>
      <c r="F126" s="41">
        <f t="shared" si="1"/>
        <v>1</v>
      </c>
      <c r="H126" s="138" t="s">
        <v>1839</v>
      </c>
      <c r="I126" s="138" t="s">
        <v>1840</v>
      </c>
      <c r="J126" s="139" t="s">
        <v>1841</v>
      </c>
      <c r="K126" s="139" t="s">
        <v>1842</v>
      </c>
    </row>
    <row r="127" spans="1:11">
      <c r="A127" s="134" t="s">
        <v>998</v>
      </c>
      <c r="B127" s="132" t="s">
        <v>610</v>
      </c>
      <c r="C127" s="133" t="s">
        <v>1843</v>
      </c>
      <c r="D127" s="134" t="s">
        <v>998</v>
      </c>
      <c r="E127" s="133" t="s">
        <v>1844</v>
      </c>
      <c r="F127" s="41">
        <f t="shared" si="1"/>
        <v>1</v>
      </c>
      <c r="H127" s="138" t="s">
        <v>1845</v>
      </c>
      <c r="I127" s="138" t="s">
        <v>1846</v>
      </c>
      <c r="J127" s="139" t="s">
        <v>1847</v>
      </c>
      <c r="K127" s="139" t="s">
        <v>1848</v>
      </c>
    </row>
    <row r="128" spans="1:11">
      <c r="A128" s="134" t="s">
        <v>1002</v>
      </c>
      <c r="B128" s="132" t="s">
        <v>602</v>
      </c>
      <c r="C128" s="133" t="s">
        <v>1849</v>
      </c>
      <c r="D128" s="134" t="s">
        <v>1002</v>
      </c>
      <c r="E128" s="133" t="s">
        <v>1850</v>
      </c>
      <c r="F128" s="41">
        <f t="shared" si="1"/>
        <v>1</v>
      </c>
      <c r="H128" s="138" t="s">
        <v>1851</v>
      </c>
      <c r="I128" s="138" t="s">
        <v>1852</v>
      </c>
      <c r="J128" s="139" t="s">
        <v>1853</v>
      </c>
      <c r="K128" s="139" t="s">
        <v>1854</v>
      </c>
    </row>
    <row r="129" spans="1:11" ht="24.75">
      <c r="A129" s="134" t="s">
        <v>981</v>
      </c>
      <c r="B129" s="132" t="s">
        <v>660</v>
      </c>
      <c r="C129" s="133" t="s">
        <v>1855</v>
      </c>
      <c r="D129" s="134" t="s">
        <v>981</v>
      </c>
      <c r="E129" s="133" t="s">
        <v>1856</v>
      </c>
      <c r="F129" s="41">
        <f t="shared" si="1"/>
        <v>1</v>
      </c>
      <c r="H129" s="138" t="s">
        <v>1857</v>
      </c>
      <c r="I129" s="138" t="s">
        <v>1858</v>
      </c>
      <c r="J129" s="139" t="s">
        <v>1859</v>
      </c>
      <c r="K129" s="139" t="s">
        <v>1860</v>
      </c>
    </row>
    <row r="130" spans="1:11">
      <c r="A130" s="134" t="s">
        <v>1005</v>
      </c>
      <c r="B130" s="132" t="s">
        <v>688</v>
      </c>
      <c r="C130" s="133" t="s">
        <v>1861</v>
      </c>
      <c r="D130" s="134" t="s">
        <v>1005</v>
      </c>
      <c r="E130" s="133" t="s">
        <v>1862</v>
      </c>
      <c r="F130" s="41">
        <f t="shared" si="1"/>
        <v>1</v>
      </c>
      <c r="H130" s="138" t="s">
        <v>1863</v>
      </c>
      <c r="I130" s="138" t="s">
        <v>1864</v>
      </c>
      <c r="J130" s="139" t="s">
        <v>1865</v>
      </c>
      <c r="K130" s="139" t="s">
        <v>1866</v>
      </c>
    </row>
    <row r="131" spans="1:11" ht="27">
      <c r="A131" s="134" t="s">
        <v>981</v>
      </c>
      <c r="B131" s="132" t="s">
        <v>677</v>
      </c>
      <c r="C131" s="133" t="s">
        <v>1855</v>
      </c>
      <c r="D131" s="134" t="s">
        <v>981</v>
      </c>
      <c r="E131" s="133" t="s">
        <v>1856</v>
      </c>
      <c r="F131" s="41">
        <f t="shared" ref="F131:F194" si="2">COUNTIF(B:B,B131)</f>
        <v>1</v>
      </c>
      <c r="H131" s="138" t="s">
        <v>1867</v>
      </c>
      <c r="I131" s="138" t="s">
        <v>1868</v>
      </c>
      <c r="J131" s="139" t="s">
        <v>1869</v>
      </c>
      <c r="K131" s="139" t="s">
        <v>1870</v>
      </c>
    </row>
    <row r="132" spans="1:11">
      <c r="A132" s="134" t="s">
        <v>1008</v>
      </c>
      <c r="B132" s="132" t="s">
        <v>621</v>
      </c>
      <c r="C132" s="133" t="s">
        <v>1871</v>
      </c>
      <c r="D132" s="134" t="s">
        <v>1008</v>
      </c>
      <c r="E132" s="133" t="s">
        <v>1872</v>
      </c>
      <c r="F132" s="41">
        <f t="shared" si="2"/>
        <v>1</v>
      </c>
      <c r="H132" s="138" t="s">
        <v>1873</v>
      </c>
      <c r="I132" s="138" t="s">
        <v>1874</v>
      </c>
      <c r="J132" s="139" t="s">
        <v>1875</v>
      </c>
      <c r="K132" s="139" t="s">
        <v>1876</v>
      </c>
    </row>
    <row r="133" spans="1:11">
      <c r="A133" s="134" t="s">
        <v>1010</v>
      </c>
      <c r="B133" s="132" t="s">
        <v>641</v>
      </c>
      <c r="C133" s="133" t="s">
        <v>1877</v>
      </c>
      <c r="D133" s="134" t="s">
        <v>1010</v>
      </c>
      <c r="E133" s="133" t="s">
        <v>1878</v>
      </c>
      <c r="F133" s="41">
        <f t="shared" si="2"/>
        <v>1</v>
      </c>
      <c r="H133" s="138" t="s">
        <v>1879</v>
      </c>
      <c r="I133" s="138" t="s">
        <v>1880</v>
      </c>
      <c r="J133" s="139" t="s">
        <v>1881</v>
      </c>
      <c r="K133" s="139" t="s">
        <v>1882</v>
      </c>
    </row>
    <row r="134" spans="1:11">
      <c r="A134" s="134" t="s">
        <v>1011</v>
      </c>
      <c r="B134" s="132" t="s">
        <v>443</v>
      </c>
      <c r="C134" s="133" t="s">
        <v>1883</v>
      </c>
      <c r="D134" s="134" t="s">
        <v>1011</v>
      </c>
      <c r="E134" s="133" t="s">
        <v>1884</v>
      </c>
      <c r="F134" s="41">
        <f t="shared" si="2"/>
        <v>1</v>
      </c>
      <c r="H134" s="138" t="s">
        <v>1885</v>
      </c>
      <c r="I134" s="138" t="s">
        <v>1886</v>
      </c>
      <c r="J134" s="139" t="s">
        <v>1887</v>
      </c>
      <c r="K134" s="139" t="s">
        <v>1888</v>
      </c>
    </row>
    <row r="135" spans="1:11">
      <c r="A135" s="134" t="s">
        <v>1012</v>
      </c>
      <c r="B135" s="132" t="s">
        <v>589</v>
      </c>
      <c r="C135" s="133" t="s">
        <v>1889</v>
      </c>
      <c r="D135" s="134" t="s">
        <v>1012</v>
      </c>
      <c r="E135" s="133" t="s">
        <v>1890</v>
      </c>
      <c r="F135" s="41">
        <f t="shared" si="2"/>
        <v>1</v>
      </c>
      <c r="H135" s="138" t="s">
        <v>1891</v>
      </c>
      <c r="I135" s="138" t="s">
        <v>1892</v>
      </c>
      <c r="J135" s="139" t="s">
        <v>1893</v>
      </c>
      <c r="K135" s="139" t="s">
        <v>1894</v>
      </c>
    </row>
    <row r="136" spans="1:11">
      <c r="A136" s="134" t="s">
        <v>1013</v>
      </c>
      <c r="B136" s="132" t="s">
        <v>613</v>
      </c>
      <c r="C136" s="133" t="s">
        <v>1895</v>
      </c>
      <c r="D136" s="134" t="s">
        <v>1013</v>
      </c>
      <c r="E136" s="133" t="s">
        <v>1896</v>
      </c>
      <c r="F136" s="41">
        <f t="shared" si="2"/>
        <v>1</v>
      </c>
      <c r="H136" s="138" t="s">
        <v>1897</v>
      </c>
      <c r="I136" s="138" t="s">
        <v>1898</v>
      </c>
      <c r="J136" s="139" t="s">
        <v>1899</v>
      </c>
      <c r="K136" s="139" t="s">
        <v>1900</v>
      </c>
    </row>
    <row r="137" spans="1:11">
      <c r="A137" s="134" t="s">
        <v>1014</v>
      </c>
      <c r="B137" s="132" t="s">
        <v>564</v>
      </c>
      <c r="C137" s="133" t="s">
        <v>1901</v>
      </c>
      <c r="D137" s="134" t="s">
        <v>1014</v>
      </c>
      <c r="E137" s="133" t="s">
        <v>1902</v>
      </c>
      <c r="F137" s="41">
        <f t="shared" si="2"/>
        <v>1</v>
      </c>
      <c r="H137" s="138" t="s">
        <v>1903</v>
      </c>
      <c r="I137" s="138" t="s">
        <v>1904</v>
      </c>
      <c r="J137" s="139" t="s">
        <v>1905</v>
      </c>
      <c r="K137" s="139" t="s">
        <v>1906</v>
      </c>
    </row>
    <row r="138" spans="1:11" ht="24.75">
      <c r="A138" s="134" t="s">
        <v>1015</v>
      </c>
      <c r="B138" s="132" t="s">
        <v>609</v>
      </c>
      <c r="C138" s="133" t="s">
        <v>1907</v>
      </c>
      <c r="D138" s="134" t="s">
        <v>1015</v>
      </c>
      <c r="E138" s="133" t="s">
        <v>1908</v>
      </c>
      <c r="F138" s="41">
        <f t="shared" si="2"/>
        <v>1</v>
      </c>
      <c r="H138" s="138" t="s">
        <v>1909</v>
      </c>
      <c r="I138" s="138" t="s">
        <v>1910</v>
      </c>
      <c r="J138" s="139" t="s">
        <v>1911</v>
      </c>
      <c r="K138" s="139" t="s">
        <v>1912</v>
      </c>
    </row>
    <row r="139" spans="1:11">
      <c r="A139" s="134" t="s">
        <v>1016</v>
      </c>
      <c r="B139" s="132" t="s">
        <v>611</v>
      </c>
      <c r="C139" s="133" t="s">
        <v>1913</v>
      </c>
      <c r="D139" s="134" t="s">
        <v>1016</v>
      </c>
      <c r="E139" s="133" t="s">
        <v>1914</v>
      </c>
      <c r="F139" s="41">
        <f t="shared" si="2"/>
        <v>1</v>
      </c>
      <c r="H139" s="138" t="s">
        <v>1915</v>
      </c>
      <c r="I139" s="138" t="s">
        <v>1916</v>
      </c>
      <c r="J139" s="139" t="s">
        <v>1917</v>
      </c>
      <c r="K139" s="139" t="s">
        <v>1918</v>
      </c>
    </row>
    <row r="140" spans="1:11">
      <c r="A140" s="134" t="s">
        <v>1017</v>
      </c>
      <c r="B140" s="132" t="s">
        <v>601</v>
      </c>
      <c r="C140" s="133" t="s">
        <v>1919</v>
      </c>
      <c r="D140" s="134" t="s">
        <v>1017</v>
      </c>
      <c r="E140" s="133" t="s">
        <v>1920</v>
      </c>
      <c r="F140" s="41">
        <f t="shared" si="2"/>
        <v>1</v>
      </c>
      <c r="H140" s="138" t="s">
        <v>1921</v>
      </c>
      <c r="I140" s="138" t="s">
        <v>1922</v>
      </c>
      <c r="J140" s="139" t="s">
        <v>1923</v>
      </c>
      <c r="K140" s="139" t="s">
        <v>1924</v>
      </c>
    </row>
    <row r="141" spans="1:11">
      <c r="A141" s="134" t="s">
        <v>1018</v>
      </c>
      <c r="B141" s="132" t="s">
        <v>604</v>
      </c>
      <c r="C141" s="133" t="s">
        <v>1925</v>
      </c>
      <c r="D141" s="134" t="s">
        <v>1018</v>
      </c>
      <c r="E141" s="133" t="s">
        <v>1926</v>
      </c>
      <c r="F141" s="41">
        <f t="shared" si="2"/>
        <v>1</v>
      </c>
      <c r="H141" s="138" t="s">
        <v>1927</v>
      </c>
      <c r="I141" s="138" t="s">
        <v>1928</v>
      </c>
      <c r="J141" s="139" t="s">
        <v>1929</v>
      </c>
      <c r="K141" s="139" t="s">
        <v>1930</v>
      </c>
    </row>
    <row r="142" spans="1:11">
      <c r="A142" s="134" t="s">
        <v>1019</v>
      </c>
      <c r="B142" s="132" t="s">
        <v>607</v>
      </c>
      <c r="C142" s="133" t="s">
        <v>1931</v>
      </c>
      <c r="D142" s="134" t="s">
        <v>1019</v>
      </c>
      <c r="E142" s="133" t="s">
        <v>1932</v>
      </c>
      <c r="F142" s="41">
        <f t="shared" si="2"/>
        <v>1</v>
      </c>
      <c r="H142" s="138" t="s">
        <v>1933</v>
      </c>
      <c r="I142" s="138" t="s">
        <v>1934</v>
      </c>
      <c r="J142" s="139" t="s">
        <v>1935</v>
      </c>
      <c r="K142" s="139" t="s">
        <v>1936</v>
      </c>
    </row>
    <row r="143" spans="1:11">
      <c r="A143" s="134" t="s">
        <v>1020</v>
      </c>
      <c r="B143" s="132" t="s">
        <v>562</v>
      </c>
      <c r="C143" s="133" t="s">
        <v>1937</v>
      </c>
      <c r="D143" s="134" t="s">
        <v>1020</v>
      </c>
      <c r="E143" s="133" t="s">
        <v>1938</v>
      </c>
      <c r="F143" s="41">
        <f t="shared" si="2"/>
        <v>2</v>
      </c>
      <c r="H143" s="138" t="s">
        <v>1939</v>
      </c>
      <c r="I143" s="138" t="s">
        <v>1940</v>
      </c>
      <c r="J143" s="139" t="s">
        <v>1941</v>
      </c>
      <c r="K143" s="139" t="s">
        <v>1942</v>
      </c>
    </row>
    <row r="144" spans="1:11">
      <c r="A144" s="134" t="s">
        <v>1021</v>
      </c>
      <c r="B144" s="132" t="s">
        <v>578</v>
      </c>
      <c r="C144" s="133" t="s">
        <v>1943</v>
      </c>
      <c r="D144" s="134" t="s">
        <v>1021</v>
      </c>
      <c r="E144" s="133" t="s">
        <v>1944</v>
      </c>
      <c r="F144" s="41">
        <f t="shared" si="2"/>
        <v>1</v>
      </c>
      <c r="H144" s="138" t="s">
        <v>1945</v>
      </c>
      <c r="I144" s="138" t="s">
        <v>1946</v>
      </c>
      <c r="J144" s="139" t="s">
        <v>1947</v>
      </c>
      <c r="K144" s="139" t="s">
        <v>1948</v>
      </c>
    </row>
    <row r="145" spans="1:11">
      <c r="A145" s="134" t="s">
        <v>1022</v>
      </c>
      <c r="B145" s="132" t="s">
        <v>587</v>
      </c>
      <c r="C145" s="133" t="s">
        <v>1949</v>
      </c>
      <c r="D145" s="134" t="s">
        <v>1022</v>
      </c>
      <c r="E145" s="133" t="s">
        <v>1950</v>
      </c>
      <c r="F145" s="41">
        <f t="shared" si="2"/>
        <v>1</v>
      </c>
      <c r="H145" s="138" t="s">
        <v>1951</v>
      </c>
      <c r="I145" s="138" t="s">
        <v>1952</v>
      </c>
      <c r="J145" s="139" t="s">
        <v>1953</v>
      </c>
      <c r="K145" s="139" t="s">
        <v>1954</v>
      </c>
    </row>
    <row r="146" spans="1:11">
      <c r="A146" s="134" t="s">
        <v>1023</v>
      </c>
      <c r="B146" s="132" t="s">
        <v>431</v>
      </c>
      <c r="C146" s="133" t="s">
        <v>1955</v>
      </c>
      <c r="D146" s="134" t="s">
        <v>1023</v>
      </c>
      <c r="E146" s="133" t="s">
        <v>1956</v>
      </c>
      <c r="F146" s="41">
        <f t="shared" si="2"/>
        <v>1</v>
      </c>
      <c r="H146" s="138" t="s">
        <v>1957</v>
      </c>
      <c r="I146" s="138" t="s">
        <v>1958</v>
      </c>
      <c r="J146" s="139" t="s">
        <v>1959</v>
      </c>
      <c r="K146" s="139" t="s">
        <v>1960</v>
      </c>
    </row>
    <row r="147" spans="1:11">
      <c r="A147" s="134" t="s">
        <v>1024</v>
      </c>
      <c r="B147" s="132" t="s">
        <v>515</v>
      </c>
      <c r="C147" s="133" t="s">
        <v>1961</v>
      </c>
      <c r="D147" s="134" t="s">
        <v>1024</v>
      </c>
      <c r="E147" s="133" t="s">
        <v>1962</v>
      </c>
      <c r="F147" s="41">
        <f t="shared" si="2"/>
        <v>1</v>
      </c>
      <c r="H147" s="138" t="s">
        <v>1963</v>
      </c>
      <c r="I147" s="138" t="s">
        <v>1964</v>
      </c>
      <c r="J147" s="139" t="s">
        <v>1965</v>
      </c>
      <c r="K147" s="139" t="s">
        <v>1966</v>
      </c>
    </row>
    <row r="148" spans="1:11">
      <c r="A148" s="134" t="s">
        <v>1967</v>
      </c>
      <c r="B148" s="132" t="s">
        <v>473</v>
      </c>
      <c r="C148" s="133" t="s">
        <v>1968</v>
      </c>
      <c r="D148" s="134" t="s">
        <v>1967</v>
      </c>
      <c r="E148" s="133" t="s">
        <v>1969</v>
      </c>
      <c r="F148" s="41">
        <f t="shared" si="2"/>
        <v>1</v>
      </c>
      <c r="H148" s="138" t="s">
        <v>1970</v>
      </c>
      <c r="I148" s="138" t="s">
        <v>1971</v>
      </c>
      <c r="J148" s="139" t="s">
        <v>1972</v>
      </c>
      <c r="K148" s="139" t="s">
        <v>1973</v>
      </c>
    </row>
    <row r="149" spans="1:11">
      <c r="A149" s="134" t="s">
        <v>1026</v>
      </c>
      <c r="B149" s="132" t="s">
        <v>540</v>
      </c>
      <c r="C149" s="133" t="s">
        <v>1974</v>
      </c>
      <c r="D149" s="134" t="s">
        <v>1026</v>
      </c>
      <c r="E149" s="133" t="s">
        <v>1975</v>
      </c>
      <c r="F149" s="41">
        <f t="shared" si="2"/>
        <v>1</v>
      </c>
      <c r="H149" s="138" t="s">
        <v>1976</v>
      </c>
      <c r="I149" s="138" t="s">
        <v>1977</v>
      </c>
      <c r="J149" s="139" t="s">
        <v>1978</v>
      </c>
      <c r="K149" s="139" t="s">
        <v>1979</v>
      </c>
    </row>
    <row r="150" spans="1:11">
      <c r="A150" s="134" t="s">
        <v>1027</v>
      </c>
      <c r="B150" s="132" t="s">
        <v>631</v>
      </c>
      <c r="C150" s="133" t="s">
        <v>1980</v>
      </c>
      <c r="D150" s="134" t="s">
        <v>1027</v>
      </c>
      <c r="E150" s="133" t="s">
        <v>1981</v>
      </c>
      <c r="F150" s="41">
        <f t="shared" si="2"/>
        <v>1</v>
      </c>
      <c r="H150" s="138" t="s">
        <v>1982</v>
      </c>
      <c r="I150" s="138" t="s">
        <v>1983</v>
      </c>
      <c r="J150" s="139" t="s">
        <v>1984</v>
      </c>
      <c r="K150" s="139" t="s">
        <v>1985</v>
      </c>
    </row>
    <row r="151" spans="1:11">
      <c r="A151" s="134" t="s">
        <v>1028</v>
      </c>
      <c r="B151" s="132" t="s">
        <v>636</v>
      </c>
      <c r="C151" s="133" t="s">
        <v>1986</v>
      </c>
      <c r="D151" s="134" t="s">
        <v>1028</v>
      </c>
      <c r="E151" s="133" t="s">
        <v>1987</v>
      </c>
      <c r="F151" s="41">
        <f t="shared" si="2"/>
        <v>1</v>
      </c>
      <c r="H151" s="138" t="s">
        <v>1988</v>
      </c>
      <c r="I151" s="138" t="s">
        <v>1989</v>
      </c>
      <c r="J151" s="139" t="s">
        <v>1990</v>
      </c>
      <c r="K151" s="139" t="s">
        <v>1991</v>
      </c>
    </row>
    <row r="152" spans="1:11">
      <c r="A152" s="134" t="s">
        <v>1029</v>
      </c>
      <c r="B152" s="132" t="s">
        <v>620</v>
      </c>
      <c r="C152" s="133" t="s">
        <v>1992</v>
      </c>
      <c r="D152" s="134" t="s">
        <v>1029</v>
      </c>
      <c r="E152" s="133" t="s">
        <v>1993</v>
      </c>
      <c r="F152" s="41">
        <f t="shared" si="2"/>
        <v>1</v>
      </c>
      <c r="H152" s="138" t="s">
        <v>1994</v>
      </c>
      <c r="I152" s="138" t="s">
        <v>1995</v>
      </c>
      <c r="J152" s="139" t="s">
        <v>1996</v>
      </c>
      <c r="K152" s="139" t="s">
        <v>1997</v>
      </c>
    </row>
    <row r="153" spans="1:11">
      <c r="A153" s="134" t="s">
        <v>1030</v>
      </c>
      <c r="B153" s="132" t="s">
        <v>477</v>
      </c>
      <c r="C153" s="154" t="s">
        <v>1998</v>
      </c>
      <c r="D153" s="134" t="s">
        <v>1030</v>
      </c>
      <c r="E153" s="133" t="s">
        <v>1999</v>
      </c>
      <c r="F153" s="41">
        <f t="shared" si="2"/>
        <v>1</v>
      </c>
      <c r="H153" s="138" t="s">
        <v>2000</v>
      </c>
      <c r="I153" s="138" t="s">
        <v>2001</v>
      </c>
      <c r="J153" s="139" t="s">
        <v>2002</v>
      </c>
      <c r="K153" s="139" t="s">
        <v>2003</v>
      </c>
    </row>
    <row r="154" spans="1:11">
      <c r="A154" s="134" t="s">
        <v>1031</v>
      </c>
      <c r="B154" s="132" t="s">
        <v>435</v>
      </c>
      <c r="C154" s="133" t="s">
        <v>2004</v>
      </c>
      <c r="D154" s="134" t="s">
        <v>1031</v>
      </c>
      <c r="E154" s="133" t="s">
        <v>2005</v>
      </c>
      <c r="F154" s="41">
        <f t="shared" si="2"/>
        <v>1</v>
      </c>
      <c r="H154" s="138" t="s">
        <v>2006</v>
      </c>
      <c r="I154" s="138" t="s">
        <v>2007</v>
      </c>
      <c r="J154" s="139" t="s">
        <v>2008</v>
      </c>
      <c r="K154" s="139" t="s">
        <v>2009</v>
      </c>
    </row>
    <row r="155" spans="1:11">
      <c r="A155" s="134" t="s">
        <v>1033</v>
      </c>
      <c r="B155" s="132" t="s">
        <v>480</v>
      </c>
      <c r="C155" s="133" t="s">
        <v>2010</v>
      </c>
      <c r="D155" s="134" t="s">
        <v>1033</v>
      </c>
      <c r="E155" s="133" t="s">
        <v>2011</v>
      </c>
      <c r="F155" s="41">
        <f t="shared" si="2"/>
        <v>1</v>
      </c>
      <c r="H155" s="138" t="s">
        <v>2012</v>
      </c>
      <c r="I155" s="138" t="s">
        <v>2013</v>
      </c>
      <c r="J155" s="139" t="s">
        <v>2014</v>
      </c>
      <c r="K155" s="139" t="s">
        <v>2015</v>
      </c>
    </row>
    <row r="156" spans="1:11">
      <c r="A156" s="134" t="s">
        <v>1034</v>
      </c>
      <c r="B156" s="132" t="s">
        <v>144</v>
      </c>
      <c r="C156" s="133" t="s">
        <v>2016</v>
      </c>
      <c r="D156" s="134" t="s">
        <v>1034</v>
      </c>
      <c r="E156" s="133" t="s">
        <v>2017</v>
      </c>
      <c r="F156" s="41">
        <f t="shared" si="2"/>
        <v>2</v>
      </c>
      <c r="H156" s="138" t="s">
        <v>2018</v>
      </c>
      <c r="I156" s="138" t="s">
        <v>2019</v>
      </c>
      <c r="J156" s="139" t="s">
        <v>2020</v>
      </c>
      <c r="K156" s="139" t="s">
        <v>2021</v>
      </c>
    </row>
    <row r="157" spans="1:11" s="97" customFormat="1">
      <c r="A157" s="157" t="s">
        <v>921</v>
      </c>
      <c r="B157" s="158" t="s">
        <v>432</v>
      </c>
      <c r="C157" s="159" t="s">
        <v>2022</v>
      </c>
      <c r="D157" s="157" t="s">
        <v>921</v>
      </c>
      <c r="E157" s="159" t="s">
        <v>2023</v>
      </c>
      <c r="F157" s="160">
        <f>COUNTIF(B:B,B157)</f>
        <v>4</v>
      </c>
      <c r="H157" s="161" t="s">
        <v>2024</v>
      </c>
      <c r="I157" s="161" t="s">
        <v>2025</v>
      </c>
      <c r="J157" s="162" t="s">
        <v>2026</v>
      </c>
      <c r="K157" s="162" t="s">
        <v>2027</v>
      </c>
    </row>
    <row r="158" spans="1:11">
      <c r="A158" s="134" t="s">
        <v>1035</v>
      </c>
      <c r="B158" s="132" t="s">
        <v>426</v>
      </c>
      <c r="C158" s="133" t="s">
        <v>2028</v>
      </c>
      <c r="D158" s="134" t="s">
        <v>1035</v>
      </c>
      <c r="E158" s="133" t="s">
        <v>2029</v>
      </c>
      <c r="F158" s="41">
        <f t="shared" si="2"/>
        <v>1</v>
      </c>
      <c r="H158" s="138" t="s">
        <v>2030</v>
      </c>
      <c r="I158" s="138" t="s">
        <v>2031</v>
      </c>
      <c r="J158" s="139" t="s">
        <v>2032</v>
      </c>
      <c r="K158" s="139" t="s">
        <v>2033</v>
      </c>
    </row>
    <row r="159" spans="1:11" ht="24.75">
      <c r="A159" s="134" t="s">
        <v>1036</v>
      </c>
      <c r="B159" s="132" t="s">
        <v>468</v>
      </c>
      <c r="C159" s="133" t="s">
        <v>2034</v>
      </c>
      <c r="D159" s="134" t="s">
        <v>1036</v>
      </c>
      <c r="E159" s="133" t="s">
        <v>2035</v>
      </c>
      <c r="F159" s="41">
        <f t="shared" si="2"/>
        <v>1</v>
      </c>
      <c r="H159" s="138" t="s">
        <v>2036</v>
      </c>
      <c r="I159" s="138" t="s">
        <v>2037</v>
      </c>
      <c r="J159" s="139" t="s">
        <v>2038</v>
      </c>
      <c r="K159" s="139" t="s">
        <v>2039</v>
      </c>
    </row>
    <row r="160" spans="1:11" ht="24.75">
      <c r="A160" s="134" t="s">
        <v>1037</v>
      </c>
      <c r="B160" s="132" t="s">
        <v>511</v>
      </c>
      <c r="C160" s="133" t="s">
        <v>2040</v>
      </c>
      <c r="D160" s="134" t="s">
        <v>1037</v>
      </c>
      <c r="E160" s="133" t="s">
        <v>2041</v>
      </c>
      <c r="F160" s="41">
        <f t="shared" si="2"/>
        <v>1</v>
      </c>
      <c r="H160" s="138" t="s">
        <v>2042</v>
      </c>
      <c r="I160" s="138" t="s">
        <v>2043</v>
      </c>
      <c r="J160" s="139" t="s">
        <v>2044</v>
      </c>
      <c r="K160" s="139" t="s">
        <v>2045</v>
      </c>
    </row>
    <row r="161" spans="1:11">
      <c r="A161" s="134" t="s">
        <v>1038</v>
      </c>
      <c r="B161" s="132" t="s">
        <v>538</v>
      </c>
      <c r="C161" s="133" t="s">
        <v>2046</v>
      </c>
      <c r="D161" s="134" t="s">
        <v>1038</v>
      </c>
      <c r="E161" s="133" t="s">
        <v>2047</v>
      </c>
      <c r="F161" s="41">
        <f t="shared" si="2"/>
        <v>1</v>
      </c>
      <c r="H161" s="138" t="s">
        <v>2048</v>
      </c>
      <c r="I161" s="138" t="s">
        <v>2049</v>
      </c>
      <c r="J161" s="139" t="s">
        <v>2050</v>
      </c>
      <c r="K161" s="139" t="s">
        <v>2051</v>
      </c>
    </row>
    <row r="162" spans="1:11">
      <c r="A162" s="134" t="s">
        <v>1039</v>
      </c>
      <c r="B162" s="132" t="s">
        <v>560</v>
      </c>
      <c r="C162" s="133" t="s">
        <v>2052</v>
      </c>
      <c r="D162" s="134" t="s">
        <v>1039</v>
      </c>
      <c r="E162" s="133" t="s">
        <v>2053</v>
      </c>
      <c r="F162" s="41">
        <f t="shared" si="2"/>
        <v>1</v>
      </c>
      <c r="H162" s="138" t="s">
        <v>2054</v>
      </c>
      <c r="I162" s="138" t="s">
        <v>2055</v>
      </c>
      <c r="J162" s="139" t="s">
        <v>2056</v>
      </c>
      <c r="K162" s="139" t="s">
        <v>2057</v>
      </c>
    </row>
    <row r="163" spans="1:11">
      <c r="A163" s="134" t="s">
        <v>1040</v>
      </c>
      <c r="B163" s="132" t="s">
        <v>577</v>
      </c>
      <c r="C163" s="133" t="s">
        <v>2058</v>
      </c>
      <c r="D163" s="134" t="s">
        <v>1040</v>
      </c>
      <c r="E163" s="133" t="s">
        <v>2059</v>
      </c>
      <c r="F163" s="41">
        <f t="shared" si="2"/>
        <v>1</v>
      </c>
      <c r="H163" s="138" t="s">
        <v>2060</v>
      </c>
      <c r="I163" s="138" t="s">
        <v>2061</v>
      </c>
      <c r="J163" s="139" t="s">
        <v>2062</v>
      </c>
      <c r="K163" s="139" t="s">
        <v>2063</v>
      </c>
    </row>
    <row r="164" spans="1:11">
      <c r="A164" s="134" t="s">
        <v>1041</v>
      </c>
      <c r="B164" s="132" t="s">
        <v>512</v>
      </c>
      <c r="C164" s="133" t="s">
        <v>2064</v>
      </c>
      <c r="D164" s="134" t="s">
        <v>1041</v>
      </c>
      <c r="E164" s="133" t="s">
        <v>2065</v>
      </c>
      <c r="F164" s="41">
        <f t="shared" si="2"/>
        <v>1</v>
      </c>
      <c r="H164" s="138" t="s">
        <v>2066</v>
      </c>
      <c r="I164" s="138" t="s">
        <v>2067</v>
      </c>
      <c r="J164" s="139" t="s">
        <v>2068</v>
      </c>
      <c r="K164" s="139" t="s">
        <v>2069</v>
      </c>
    </row>
    <row r="165" spans="1:11">
      <c r="A165" s="134" t="s">
        <v>1042</v>
      </c>
      <c r="B165" s="132" t="s">
        <v>427</v>
      </c>
      <c r="C165" s="133" t="s">
        <v>2070</v>
      </c>
      <c r="D165" s="134" t="s">
        <v>1042</v>
      </c>
      <c r="E165" s="133" t="s">
        <v>2071</v>
      </c>
      <c r="F165" s="41">
        <f t="shared" si="2"/>
        <v>1</v>
      </c>
      <c r="H165" s="138" t="s">
        <v>2072</v>
      </c>
      <c r="I165" s="138" t="s">
        <v>2073</v>
      </c>
      <c r="J165" s="139" t="s">
        <v>2074</v>
      </c>
      <c r="K165" s="139" t="s">
        <v>2075</v>
      </c>
    </row>
    <row r="166" spans="1:11">
      <c r="A166" s="134" t="s">
        <v>2076</v>
      </c>
      <c r="B166" s="132" t="s">
        <v>539</v>
      </c>
      <c r="C166" s="133" t="s">
        <v>2077</v>
      </c>
      <c r="D166" s="134" t="s">
        <v>2076</v>
      </c>
      <c r="E166" s="133" t="s">
        <v>2078</v>
      </c>
      <c r="F166" s="41">
        <f t="shared" si="2"/>
        <v>1</v>
      </c>
      <c r="H166" s="138" t="s">
        <v>2079</v>
      </c>
      <c r="I166" s="138" t="s">
        <v>2080</v>
      </c>
      <c r="J166" s="139" t="s">
        <v>2081</v>
      </c>
      <c r="K166" s="139" t="s">
        <v>2082</v>
      </c>
    </row>
    <row r="167" spans="1:11">
      <c r="A167" s="134" t="s">
        <v>1044</v>
      </c>
      <c r="B167" s="132" t="s">
        <v>469</v>
      </c>
      <c r="C167" s="133" t="s">
        <v>2083</v>
      </c>
      <c r="D167" s="134" t="s">
        <v>1044</v>
      </c>
      <c r="E167" s="133" t="s">
        <v>2084</v>
      </c>
      <c r="F167" s="41">
        <f t="shared" si="2"/>
        <v>1</v>
      </c>
      <c r="H167" s="138" t="s">
        <v>2085</v>
      </c>
      <c r="I167" s="138" t="s">
        <v>2086</v>
      </c>
      <c r="J167" s="139" t="s">
        <v>2087</v>
      </c>
      <c r="K167" s="139" t="s">
        <v>2088</v>
      </c>
    </row>
    <row r="168" spans="1:11">
      <c r="A168" s="134" t="s">
        <v>1045</v>
      </c>
      <c r="B168" s="132" t="s">
        <v>470</v>
      </c>
      <c r="C168" s="133" t="s">
        <v>2089</v>
      </c>
      <c r="D168" s="134" t="s">
        <v>1045</v>
      </c>
      <c r="E168" s="133" t="s">
        <v>2090</v>
      </c>
      <c r="F168" s="41">
        <f t="shared" si="2"/>
        <v>1</v>
      </c>
      <c r="H168" s="138" t="s">
        <v>2091</v>
      </c>
      <c r="I168" s="138" t="s">
        <v>2092</v>
      </c>
      <c r="J168" s="139" t="s">
        <v>2093</v>
      </c>
      <c r="K168" s="139" t="s">
        <v>2094</v>
      </c>
    </row>
    <row r="169" spans="1:11">
      <c r="A169" s="134" t="s">
        <v>1046</v>
      </c>
      <c r="B169" s="132" t="s">
        <v>428</v>
      </c>
      <c r="C169" s="133" t="s">
        <v>2095</v>
      </c>
      <c r="D169" s="134" t="s">
        <v>1046</v>
      </c>
      <c r="E169" s="133" t="s">
        <v>2096</v>
      </c>
      <c r="F169" s="41">
        <f t="shared" si="2"/>
        <v>1</v>
      </c>
      <c r="H169" s="138" t="s">
        <v>2097</v>
      </c>
      <c r="I169" s="138" t="s">
        <v>2098</v>
      </c>
      <c r="J169" s="139" t="s">
        <v>2099</v>
      </c>
      <c r="K169" s="139" t="s">
        <v>2100</v>
      </c>
    </row>
    <row r="170" spans="1:11">
      <c r="A170" s="134" t="s">
        <v>1047</v>
      </c>
      <c r="B170" s="132" t="s">
        <v>592</v>
      </c>
      <c r="C170" s="133" t="s">
        <v>2101</v>
      </c>
      <c r="D170" s="134" t="s">
        <v>1047</v>
      </c>
      <c r="E170" s="133" t="s">
        <v>2102</v>
      </c>
      <c r="F170" s="41">
        <f t="shared" si="2"/>
        <v>1</v>
      </c>
      <c r="H170" s="138" t="s">
        <v>2103</v>
      </c>
      <c r="I170" s="138" t="s">
        <v>2104</v>
      </c>
      <c r="J170" s="139" t="s">
        <v>2105</v>
      </c>
      <c r="K170" s="139" t="s">
        <v>2106</v>
      </c>
    </row>
    <row r="171" spans="1:11">
      <c r="A171" s="134" t="s">
        <v>1048</v>
      </c>
      <c r="B171" s="132" t="s">
        <v>559</v>
      </c>
      <c r="C171" s="133" t="s">
        <v>2107</v>
      </c>
      <c r="D171" s="134" t="s">
        <v>1048</v>
      </c>
      <c r="E171" s="133" t="s">
        <v>2108</v>
      </c>
      <c r="F171" s="41">
        <f t="shared" si="2"/>
        <v>1</v>
      </c>
      <c r="H171" s="138" t="s">
        <v>2109</v>
      </c>
      <c r="I171" s="138" t="s">
        <v>2110</v>
      </c>
      <c r="J171" s="139" t="s">
        <v>2111</v>
      </c>
      <c r="K171" s="139" t="s">
        <v>2112</v>
      </c>
    </row>
    <row r="172" spans="1:11">
      <c r="A172" s="134" t="s">
        <v>1049</v>
      </c>
      <c r="B172" s="132" t="s">
        <v>586</v>
      </c>
      <c r="C172" s="133" t="s">
        <v>2113</v>
      </c>
      <c r="D172" s="134" t="s">
        <v>1049</v>
      </c>
      <c r="E172" s="133" t="s">
        <v>2114</v>
      </c>
      <c r="F172" s="41">
        <f t="shared" si="2"/>
        <v>1</v>
      </c>
      <c r="H172" s="138" t="s">
        <v>2115</v>
      </c>
      <c r="I172" s="138" t="s">
        <v>2116</v>
      </c>
      <c r="J172" s="139" t="s">
        <v>2117</v>
      </c>
      <c r="K172" s="139" t="s">
        <v>2118</v>
      </c>
    </row>
    <row r="173" spans="1:11" ht="24.75">
      <c r="A173" s="134" t="s">
        <v>1050</v>
      </c>
      <c r="B173" s="132" t="s">
        <v>576</v>
      </c>
      <c r="C173" s="133" t="s">
        <v>2119</v>
      </c>
      <c r="D173" s="134" t="s">
        <v>1050</v>
      </c>
      <c r="E173" s="133" t="s">
        <v>2120</v>
      </c>
      <c r="F173" s="41">
        <f t="shared" si="2"/>
        <v>1</v>
      </c>
      <c r="H173" s="138" t="s">
        <v>2121</v>
      </c>
      <c r="I173" s="138" t="s">
        <v>2122</v>
      </c>
      <c r="J173" s="139" t="s">
        <v>2123</v>
      </c>
      <c r="K173" s="139" t="s">
        <v>2124</v>
      </c>
    </row>
    <row r="174" spans="1:11" ht="27">
      <c r="A174" s="134" t="s">
        <v>1051</v>
      </c>
      <c r="B174" s="132" t="s">
        <v>537</v>
      </c>
      <c r="C174" s="133" t="s">
        <v>2125</v>
      </c>
      <c r="D174" s="134" t="s">
        <v>1051</v>
      </c>
      <c r="E174" s="133" t="s">
        <v>2126</v>
      </c>
      <c r="F174" s="41">
        <f t="shared" si="2"/>
        <v>1</v>
      </c>
      <c r="H174" s="138" t="s">
        <v>2127</v>
      </c>
      <c r="I174" s="138" t="s">
        <v>2128</v>
      </c>
      <c r="J174" s="139" t="s">
        <v>2129</v>
      </c>
      <c r="K174" s="139" t="s">
        <v>2130</v>
      </c>
    </row>
    <row r="175" spans="1:11">
      <c r="A175" s="134" t="s">
        <v>1052</v>
      </c>
      <c r="B175" s="132" t="s">
        <v>467</v>
      </c>
      <c r="C175" s="133" t="s">
        <v>2131</v>
      </c>
      <c r="D175" s="134" t="s">
        <v>1052</v>
      </c>
      <c r="E175" s="133" t="s">
        <v>2132</v>
      </c>
      <c r="F175" s="41">
        <f t="shared" si="2"/>
        <v>1</v>
      </c>
      <c r="H175" s="138" t="s">
        <v>2133</v>
      </c>
      <c r="I175" s="138" t="s">
        <v>2134</v>
      </c>
      <c r="J175" s="139" t="s">
        <v>2135</v>
      </c>
      <c r="K175" s="139" t="s">
        <v>2136</v>
      </c>
    </row>
    <row r="176" spans="1:11">
      <c r="A176" s="134" t="s">
        <v>1054</v>
      </c>
      <c r="B176" s="132" t="s">
        <v>1053</v>
      </c>
      <c r="C176" s="133" t="s">
        <v>2137</v>
      </c>
      <c r="D176" s="134" t="s">
        <v>1054</v>
      </c>
      <c r="E176" s="133" t="s">
        <v>2138</v>
      </c>
      <c r="F176" s="41">
        <f t="shared" si="2"/>
        <v>1</v>
      </c>
      <c r="H176" s="138" t="s">
        <v>2139</v>
      </c>
      <c r="I176" s="138" t="s">
        <v>2140</v>
      </c>
      <c r="J176" s="139" t="s">
        <v>2141</v>
      </c>
      <c r="K176" s="139" t="s">
        <v>2142</v>
      </c>
    </row>
    <row r="177" spans="1:11">
      <c r="A177" s="134" t="s">
        <v>1055</v>
      </c>
      <c r="B177" s="132" t="s">
        <v>425</v>
      </c>
      <c r="C177" s="133" t="s">
        <v>2143</v>
      </c>
      <c r="D177" s="134" t="s">
        <v>1055</v>
      </c>
      <c r="E177" s="133" t="s">
        <v>2144</v>
      </c>
      <c r="F177" s="41">
        <f t="shared" si="2"/>
        <v>1</v>
      </c>
      <c r="H177" s="138" t="s">
        <v>2145</v>
      </c>
      <c r="I177" s="138" t="s">
        <v>2146</v>
      </c>
      <c r="J177" s="139" t="s">
        <v>2147</v>
      </c>
      <c r="K177" s="139" t="s">
        <v>2148</v>
      </c>
    </row>
    <row r="178" spans="1:11">
      <c r="A178" s="134" t="s">
        <v>1056</v>
      </c>
      <c r="B178" s="132" t="s">
        <v>664</v>
      </c>
      <c r="C178" s="133" t="s">
        <v>2149</v>
      </c>
      <c r="D178" s="134" t="s">
        <v>1056</v>
      </c>
      <c r="E178" s="133" t="s">
        <v>2150</v>
      </c>
      <c r="F178" s="41">
        <f t="shared" si="2"/>
        <v>1</v>
      </c>
      <c r="H178" s="138" t="s">
        <v>2151</v>
      </c>
      <c r="I178" s="138" t="s">
        <v>2152</v>
      </c>
      <c r="J178" s="139" t="s">
        <v>2153</v>
      </c>
      <c r="K178" s="139" t="s">
        <v>2154</v>
      </c>
    </row>
    <row r="179" spans="1:11">
      <c r="A179" s="134" t="s">
        <v>1057</v>
      </c>
      <c r="B179" s="132" t="s">
        <v>668</v>
      </c>
      <c r="C179" s="133" t="s">
        <v>2155</v>
      </c>
      <c r="D179" s="134" t="s">
        <v>1057</v>
      </c>
      <c r="E179" s="133" t="s">
        <v>2156</v>
      </c>
      <c r="F179" s="41">
        <f t="shared" si="2"/>
        <v>1</v>
      </c>
      <c r="H179" s="138" t="s">
        <v>2157</v>
      </c>
      <c r="I179" s="138" t="s">
        <v>2158</v>
      </c>
      <c r="J179" s="139" t="s">
        <v>2159</v>
      </c>
      <c r="K179" s="139" t="s">
        <v>2160</v>
      </c>
    </row>
    <row r="180" spans="1:11">
      <c r="A180" s="134" t="s">
        <v>1058</v>
      </c>
      <c r="B180" s="132" t="s">
        <v>659</v>
      </c>
      <c r="C180" s="133" t="s">
        <v>2161</v>
      </c>
      <c r="D180" s="134" t="s">
        <v>1058</v>
      </c>
      <c r="E180" s="133" t="s">
        <v>2162</v>
      </c>
      <c r="F180" s="41">
        <f t="shared" si="2"/>
        <v>1</v>
      </c>
      <c r="H180" s="138" t="s">
        <v>2163</v>
      </c>
      <c r="I180" s="138" t="s">
        <v>2164</v>
      </c>
      <c r="J180" s="139" t="s">
        <v>2165</v>
      </c>
      <c r="K180" s="139" t="s">
        <v>2166</v>
      </c>
    </row>
    <row r="181" spans="1:11">
      <c r="A181" s="134" t="s">
        <v>1059</v>
      </c>
      <c r="B181" s="132" t="s">
        <v>153</v>
      </c>
      <c r="C181" s="133" t="s">
        <v>2167</v>
      </c>
      <c r="D181" s="134" t="s">
        <v>1059</v>
      </c>
      <c r="E181" s="133" t="s">
        <v>2168</v>
      </c>
      <c r="F181" s="41">
        <f t="shared" si="2"/>
        <v>2</v>
      </c>
      <c r="H181" s="138" t="s">
        <v>2169</v>
      </c>
      <c r="I181" s="138" t="s">
        <v>2170</v>
      </c>
      <c r="J181" s="139" t="s">
        <v>2171</v>
      </c>
      <c r="K181" s="139" t="s">
        <v>2172</v>
      </c>
    </row>
    <row r="182" spans="1:11">
      <c r="A182" s="134" t="s">
        <v>1060</v>
      </c>
      <c r="B182" s="132" t="s">
        <v>673</v>
      </c>
      <c r="C182" s="133" t="s">
        <v>673</v>
      </c>
      <c r="D182" s="134" t="s">
        <v>1060</v>
      </c>
      <c r="E182" s="133" t="s">
        <v>2173</v>
      </c>
      <c r="F182" s="41">
        <f t="shared" si="2"/>
        <v>1</v>
      </c>
      <c r="H182" s="138" t="s">
        <v>2174</v>
      </c>
      <c r="I182" s="138" t="s">
        <v>2175</v>
      </c>
      <c r="J182" s="139" t="s">
        <v>2176</v>
      </c>
      <c r="K182" s="139" t="s">
        <v>2177</v>
      </c>
    </row>
    <row r="183" spans="1:11">
      <c r="A183" s="134" t="s">
        <v>1061</v>
      </c>
      <c r="B183" s="132" t="s">
        <v>543</v>
      </c>
      <c r="C183" s="133" t="s">
        <v>2178</v>
      </c>
      <c r="D183" s="134" t="s">
        <v>1061</v>
      </c>
      <c r="E183" s="133" t="s">
        <v>2179</v>
      </c>
      <c r="F183" s="41">
        <f t="shared" si="2"/>
        <v>2</v>
      </c>
      <c r="H183" s="138" t="s">
        <v>2180</v>
      </c>
      <c r="I183" s="138" t="s">
        <v>2181</v>
      </c>
      <c r="J183" s="139" t="s">
        <v>2182</v>
      </c>
      <c r="K183" s="139" t="s">
        <v>2183</v>
      </c>
    </row>
    <row r="184" spans="1:11">
      <c r="A184" s="134" t="s">
        <v>1062</v>
      </c>
      <c r="B184" s="132" t="s">
        <v>651</v>
      </c>
      <c r="C184" s="133" t="s">
        <v>2184</v>
      </c>
      <c r="D184" s="134" t="s">
        <v>1062</v>
      </c>
      <c r="E184" s="133" t="s">
        <v>2185</v>
      </c>
      <c r="F184" s="41">
        <f t="shared" si="2"/>
        <v>1</v>
      </c>
      <c r="H184" s="138" t="s">
        <v>2186</v>
      </c>
      <c r="I184" s="138" t="s">
        <v>2187</v>
      </c>
      <c r="J184" s="139" t="s">
        <v>2188</v>
      </c>
      <c r="K184" s="139" t="s">
        <v>2189</v>
      </c>
    </row>
    <row r="185" spans="1:11">
      <c r="A185" s="134" t="s">
        <v>1063</v>
      </c>
      <c r="B185" s="132" t="s">
        <v>656</v>
      </c>
      <c r="C185" s="133" t="s">
        <v>2190</v>
      </c>
      <c r="D185" s="134" t="s">
        <v>1063</v>
      </c>
      <c r="E185" s="133" t="s">
        <v>2191</v>
      </c>
      <c r="F185" s="41">
        <f t="shared" si="2"/>
        <v>1</v>
      </c>
      <c r="H185" s="138" t="s">
        <v>2192</v>
      </c>
      <c r="I185" s="138" t="s">
        <v>2193</v>
      </c>
      <c r="J185" s="139" t="s">
        <v>2194</v>
      </c>
      <c r="K185" s="139" t="s">
        <v>2195</v>
      </c>
    </row>
    <row r="186" spans="1:11">
      <c r="A186" s="134" t="s">
        <v>1064</v>
      </c>
      <c r="B186" s="132" t="s">
        <v>640</v>
      </c>
      <c r="C186" s="133" t="s">
        <v>2196</v>
      </c>
      <c r="D186" s="134" t="s">
        <v>1064</v>
      </c>
      <c r="E186" s="133" t="s">
        <v>2197</v>
      </c>
      <c r="F186" s="41">
        <f t="shared" si="2"/>
        <v>1</v>
      </c>
      <c r="H186" s="138" t="s">
        <v>2198</v>
      </c>
      <c r="I186" s="138" t="s">
        <v>2199</v>
      </c>
      <c r="J186" s="139" t="s">
        <v>2200</v>
      </c>
      <c r="K186" s="139" t="s">
        <v>2201</v>
      </c>
    </row>
    <row r="187" spans="1:11">
      <c r="A187" s="134" t="s">
        <v>1065</v>
      </c>
      <c r="B187" s="132" t="s">
        <v>646</v>
      </c>
      <c r="C187" s="133" t="s">
        <v>2202</v>
      </c>
      <c r="D187" s="134" t="s">
        <v>1065</v>
      </c>
      <c r="E187" s="133" t="s">
        <v>2203</v>
      </c>
      <c r="F187" s="41">
        <f t="shared" si="2"/>
        <v>1</v>
      </c>
      <c r="H187" s="138" t="s">
        <v>2204</v>
      </c>
      <c r="I187" s="138" t="s">
        <v>2205</v>
      </c>
      <c r="J187" s="139" t="s">
        <v>2206</v>
      </c>
      <c r="K187" s="139" t="s">
        <v>2207</v>
      </c>
    </row>
    <row r="188" spans="1:11">
      <c r="A188" s="134" t="s">
        <v>1066</v>
      </c>
      <c r="B188" s="132" t="s">
        <v>544</v>
      </c>
      <c r="C188" s="133" t="s">
        <v>2208</v>
      </c>
      <c r="D188" s="134" t="s">
        <v>1066</v>
      </c>
      <c r="E188" s="133" t="s">
        <v>2209</v>
      </c>
      <c r="F188" s="41">
        <f t="shared" si="2"/>
        <v>1</v>
      </c>
      <c r="H188" s="138" t="s">
        <v>2210</v>
      </c>
      <c r="I188" s="138" t="s">
        <v>2211</v>
      </c>
      <c r="J188" s="139"/>
      <c r="K188" s="138"/>
    </row>
    <row r="189" spans="1:11">
      <c r="A189" s="134" t="s">
        <v>1067</v>
      </c>
      <c r="B189" s="132" t="s">
        <v>442</v>
      </c>
      <c r="C189" s="133" t="s">
        <v>2212</v>
      </c>
      <c r="D189" s="134" t="s">
        <v>1067</v>
      </c>
      <c r="E189" s="133" t="s">
        <v>2213</v>
      </c>
      <c r="F189" s="41">
        <f t="shared" si="2"/>
        <v>1</v>
      </c>
      <c r="H189" s="138" t="s">
        <v>2214</v>
      </c>
      <c r="I189" s="138" t="s">
        <v>2215</v>
      </c>
      <c r="J189" s="139"/>
      <c r="K189" s="138"/>
    </row>
    <row r="190" spans="1:11">
      <c r="A190" s="134" t="s">
        <v>1068</v>
      </c>
      <c r="B190" s="132" t="s">
        <v>521</v>
      </c>
      <c r="C190" s="133" t="s">
        <v>2216</v>
      </c>
      <c r="D190" s="134" t="s">
        <v>1068</v>
      </c>
      <c r="E190" s="133" t="s">
        <v>2217</v>
      </c>
      <c r="F190" s="41">
        <f t="shared" si="2"/>
        <v>1</v>
      </c>
      <c r="H190" s="138" t="s">
        <v>2218</v>
      </c>
      <c r="I190" s="138" t="s">
        <v>2219</v>
      </c>
      <c r="J190" s="139"/>
      <c r="K190" s="138"/>
    </row>
    <row r="191" spans="1:11">
      <c r="A191" s="134" t="s">
        <v>1069</v>
      </c>
      <c r="B191" s="132" t="s">
        <v>484</v>
      </c>
      <c r="C191" s="133" t="s">
        <v>2220</v>
      </c>
      <c r="D191" s="134" t="s">
        <v>1069</v>
      </c>
      <c r="E191" s="133" t="s">
        <v>2221</v>
      </c>
      <c r="F191" s="41">
        <f t="shared" si="2"/>
        <v>1</v>
      </c>
      <c r="H191" s="138" t="s">
        <v>2222</v>
      </c>
      <c r="I191" s="138" t="s">
        <v>2223</v>
      </c>
      <c r="J191" s="139"/>
      <c r="K191" s="138"/>
    </row>
    <row r="192" spans="1:11">
      <c r="A192" s="134" t="s">
        <v>1005</v>
      </c>
      <c r="B192" s="132" t="s">
        <v>687</v>
      </c>
      <c r="C192" s="133" t="s">
        <v>1861</v>
      </c>
      <c r="D192" s="134" t="s">
        <v>1005</v>
      </c>
      <c r="E192" s="133" t="s">
        <v>1862</v>
      </c>
      <c r="F192" s="41">
        <f t="shared" si="2"/>
        <v>1</v>
      </c>
      <c r="H192" s="138" t="s">
        <v>2224</v>
      </c>
      <c r="I192" s="138" t="s">
        <v>2225</v>
      </c>
      <c r="J192" s="139"/>
      <c r="K192" s="138"/>
    </row>
    <row r="193" spans="1:11">
      <c r="A193" s="134" t="s">
        <v>1071</v>
      </c>
      <c r="B193" s="132" t="s">
        <v>598</v>
      </c>
      <c r="C193" s="133" t="s">
        <v>2226</v>
      </c>
      <c r="D193" s="134" t="s">
        <v>1071</v>
      </c>
      <c r="E193" s="133" t="s">
        <v>2227</v>
      </c>
      <c r="F193" s="41">
        <f t="shared" si="2"/>
        <v>1</v>
      </c>
      <c r="H193" s="138" t="s">
        <v>2228</v>
      </c>
      <c r="I193" s="138" t="s">
        <v>2229</v>
      </c>
      <c r="J193" s="139"/>
      <c r="K193" s="138"/>
    </row>
    <row r="194" spans="1:11">
      <c r="A194" s="134" t="s">
        <v>1072</v>
      </c>
      <c r="B194" s="132" t="s">
        <v>595</v>
      </c>
      <c r="C194" s="133" t="s">
        <v>2230</v>
      </c>
      <c r="D194" s="134" t="s">
        <v>1072</v>
      </c>
      <c r="E194" s="133" t="s">
        <v>2231</v>
      </c>
      <c r="F194" s="41">
        <f t="shared" si="2"/>
        <v>1</v>
      </c>
      <c r="H194" s="138" t="s">
        <v>2232</v>
      </c>
      <c r="I194" s="138" t="s">
        <v>2233</v>
      </c>
      <c r="J194" s="139"/>
      <c r="K194" s="138"/>
    </row>
    <row r="195" spans="1:11">
      <c r="A195" s="134" t="s">
        <v>1073</v>
      </c>
      <c r="B195" s="132" t="s">
        <v>588</v>
      </c>
      <c r="C195" s="133" t="s">
        <v>2234</v>
      </c>
      <c r="D195" s="134" t="s">
        <v>1073</v>
      </c>
      <c r="E195" s="133" t="s">
        <v>2235</v>
      </c>
      <c r="F195" s="41">
        <f t="shared" ref="F195:F258" si="3">COUNTIF(B:B,B195)</f>
        <v>1</v>
      </c>
      <c r="H195" s="138" t="s">
        <v>2236</v>
      </c>
      <c r="I195" s="138" t="s">
        <v>2237</v>
      </c>
      <c r="J195" s="139"/>
      <c r="K195" s="138"/>
    </row>
    <row r="196" spans="1:11">
      <c r="A196" s="134" t="s">
        <v>1074</v>
      </c>
      <c r="B196" s="132" t="s">
        <v>483</v>
      </c>
      <c r="C196" s="133" t="s">
        <v>2238</v>
      </c>
      <c r="D196" s="134" t="s">
        <v>1074</v>
      </c>
      <c r="E196" s="133" t="s">
        <v>2239</v>
      </c>
      <c r="F196" s="41">
        <f t="shared" si="3"/>
        <v>1</v>
      </c>
      <c r="H196" s="138" t="s">
        <v>2240</v>
      </c>
      <c r="I196" s="138" t="s">
        <v>2241</v>
      </c>
      <c r="J196" s="139"/>
      <c r="K196" s="138"/>
    </row>
    <row r="197" spans="1:11">
      <c r="A197" s="134" t="s">
        <v>1075</v>
      </c>
      <c r="B197" s="132" t="s">
        <v>520</v>
      </c>
      <c r="C197" s="133" t="s">
        <v>2242</v>
      </c>
      <c r="D197" s="134" t="s">
        <v>1075</v>
      </c>
      <c r="E197" s="133" t="s">
        <v>2243</v>
      </c>
      <c r="F197" s="41">
        <f t="shared" si="3"/>
        <v>1</v>
      </c>
      <c r="H197" s="138" t="s">
        <v>2244</v>
      </c>
      <c r="I197" s="138" t="s">
        <v>2245</v>
      </c>
      <c r="J197" s="139"/>
      <c r="K197" s="138"/>
    </row>
    <row r="198" spans="1:11">
      <c r="A198" s="134" t="s">
        <v>1076</v>
      </c>
      <c r="B198" s="132" t="s">
        <v>440</v>
      </c>
      <c r="C198" s="133" t="s">
        <v>2246</v>
      </c>
      <c r="D198" s="134" t="s">
        <v>1076</v>
      </c>
      <c r="E198" s="133" t="s">
        <v>2247</v>
      </c>
      <c r="F198" s="41">
        <f t="shared" si="3"/>
        <v>1</v>
      </c>
      <c r="H198" s="138" t="s">
        <v>2248</v>
      </c>
      <c r="I198" s="138" t="s">
        <v>2249</v>
      </c>
      <c r="J198" s="139"/>
      <c r="K198" s="138"/>
    </row>
    <row r="199" spans="1:11" ht="27">
      <c r="A199" s="134" t="s">
        <v>1077</v>
      </c>
      <c r="B199" s="132" t="s">
        <v>594</v>
      </c>
      <c r="C199" s="133" t="s">
        <v>2250</v>
      </c>
      <c r="D199" s="134" t="s">
        <v>1077</v>
      </c>
      <c r="E199" s="133" t="s">
        <v>2251</v>
      </c>
      <c r="F199" s="41">
        <f t="shared" si="3"/>
        <v>1</v>
      </c>
      <c r="H199" s="138" t="s">
        <v>2252</v>
      </c>
      <c r="I199" s="138" t="s">
        <v>2253</v>
      </c>
      <c r="J199" s="139"/>
      <c r="K199" s="138"/>
    </row>
    <row r="200" spans="1:11">
      <c r="A200" s="134" t="s">
        <v>1078</v>
      </c>
      <c r="B200" s="132" t="s">
        <v>606</v>
      </c>
      <c r="C200" s="133" t="s">
        <v>2254</v>
      </c>
      <c r="D200" s="134" t="s">
        <v>1078</v>
      </c>
      <c r="E200" s="133" t="s">
        <v>2255</v>
      </c>
      <c r="F200" s="41">
        <f t="shared" si="3"/>
        <v>1</v>
      </c>
      <c r="H200" s="138" t="s">
        <v>2256</v>
      </c>
      <c r="I200" s="138" t="s">
        <v>2257</v>
      </c>
      <c r="J200" s="139"/>
      <c r="K200" s="138"/>
    </row>
    <row r="201" spans="1:11">
      <c r="A201" s="134" t="s">
        <v>1020</v>
      </c>
      <c r="B201" s="132" t="s">
        <v>562</v>
      </c>
      <c r="C201" s="133" t="s">
        <v>2258</v>
      </c>
      <c r="D201" s="134" t="s">
        <v>1020</v>
      </c>
      <c r="E201" s="133" t="s">
        <v>2259</v>
      </c>
      <c r="F201" s="41">
        <f t="shared" si="3"/>
        <v>2</v>
      </c>
      <c r="H201" s="138" t="s">
        <v>2260</v>
      </c>
      <c r="I201" s="138" t="s">
        <v>2261</v>
      </c>
      <c r="J201" s="139"/>
      <c r="K201" s="138"/>
    </row>
    <row r="202" spans="1:11">
      <c r="A202" s="134" t="s">
        <v>1079</v>
      </c>
      <c r="B202" s="132" t="s">
        <v>579</v>
      </c>
      <c r="C202" s="133" t="s">
        <v>2262</v>
      </c>
      <c r="D202" s="134" t="s">
        <v>1079</v>
      </c>
      <c r="E202" s="133" t="s">
        <v>2263</v>
      </c>
      <c r="F202" s="41">
        <f t="shared" si="3"/>
        <v>1</v>
      </c>
      <c r="H202" s="138" t="s">
        <v>2264</v>
      </c>
      <c r="I202" s="138" t="s">
        <v>2265</v>
      </c>
      <c r="J202" s="139"/>
      <c r="K202" s="138"/>
    </row>
    <row r="203" spans="1:11">
      <c r="A203" s="134" t="s">
        <v>1061</v>
      </c>
      <c r="B203" s="132" t="s">
        <v>543</v>
      </c>
      <c r="C203" s="133" t="s">
        <v>2178</v>
      </c>
      <c r="D203" s="134" t="s">
        <v>1061</v>
      </c>
      <c r="E203" s="133" t="s">
        <v>2266</v>
      </c>
      <c r="F203" s="41">
        <f t="shared" si="3"/>
        <v>2</v>
      </c>
      <c r="H203" s="138" t="s">
        <v>2267</v>
      </c>
      <c r="I203" s="138" t="s">
        <v>2268</v>
      </c>
      <c r="J203" s="139"/>
      <c r="K203" s="138"/>
    </row>
    <row r="204" spans="1:11">
      <c r="A204" s="134" t="s">
        <v>1080</v>
      </c>
      <c r="B204" s="132" t="s">
        <v>441</v>
      </c>
      <c r="C204" s="133" t="s">
        <v>2269</v>
      </c>
      <c r="D204" s="134" t="s">
        <v>1080</v>
      </c>
      <c r="E204" s="133" t="s">
        <v>2270</v>
      </c>
      <c r="F204" s="41">
        <f t="shared" si="3"/>
        <v>1</v>
      </c>
      <c r="H204" s="138" t="s">
        <v>2271</v>
      </c>
      <c r="I204" s="138" t="s">
        <v>2272</v>
      </c>
      <c r="J204" s="139"/>
      <c r="K204" s="138"/>
    </row>
    <row r="205" spans="1:11">
      <c r="A205" s="134" t="s">
        <v>1081</v>
      </c>
      <c r="B205" s="132" t="s">
        <v>603</v>
      </c>
      <c r="C205" s="133" t="s">
        <v>2273</v>
      </c>
      <c r="D205" s="134" t="s">
        <v>1081</v>
      </c>
      <c r="E205" s="133" t="s">
        <v>2274</v>
      </c>
      <c r="F205" s="41">
        <f t="shared" si="3"/>
        <v>2</v>
      </c>
      <c r="H205" s="138" t="s">
        <v>2275</v>
      </c>
      <c r="I205" s="138" t="s">
        <v>2276</v>
      </c>
      <c r="J205" s="139"/>
      <c r="K205" s="138"/>
    </row>
    <row r="206" spans="1:11">
      <c r="A206" s="134" t="s">
        <v>1082</v>
      </c>
      <c r="B206" s="132" t="s">
        <v>466</v>
      </c>
      <c r="C206" s="133" t="s">
        <v>2277</v>
      </c>
      <c r="D206" s="134" t="s">
        <v>1082</v>
      </c>
      <c r="E206" s="133" t="s">
        <v>2278</v>
      </c>
      <c r="F206" s="41">
        <f t="shared" si="3"/>
        <v>1</v>
      </c>
      <c r="H206" s="138" t="s">
        <v>2279</v>
      </c>
      <c r="I206" s="138" t="s">
        <v>2280</v>
      </c>
      <c r="J206" s="139"/>
      <c r="K206" s="138"/>
    </row>
    <row r="207" spans="1:11">
      <c r="A207" s="134" t="s">
        <v>1083</v>
      </c>
      <c r="B207" s="132" t="s">
        <v>509</v>
      </c>
      <c r="C207" s="133" t="s">
        <v>2281</v>
      </c>
      <c r="D207" s="134" t="s">
        <v>1083</v>
      </c>
      <c r="E207" s="133" t="s">
        <v>2282</v>
      </c>
      <c r="F207" s="41">
        <f t="shared" si="3"/>
        <v>1</v>
      </c>
      <c r="H207" s="138" t="s">
        <v>2283</v>
      </c>
      <c r="I207" s="138" t="s">
        <v>2284</v>
      </c>
      <c r="J207" s="139"/>
      <c r="K207" s="138"/>
    </row>
    <row r="208" spans="1:11">
      <c r="A208" s="134" t="s">
        <v>1084</v>
      </c>
      <c r="B208" s="132" t="s">
        <v>424</v>
      </c>
      <c r="C208" s="133" t="s">
        <v>2285</v>
      </c>
      <c r="D208" s="134" t="s">
        <v>1084</v>
      </c>
      <c r="E208" s="133" t="s">
        <v>2286</v>
      </c>
      <c r="F208" s="41">
        <f t="shared" si="3"/>
        <v>1</v>
      </c>
      <c r="H208" s="138" t="s">
        <v>2287</v>
      </c>
      <c r="I208" s="138" t="s">
        <v>2288</v>
      </c>
      <c r="J208" s="139"/>
      <c r="K208" s="138"/>
    </row>
    <row r="209" spans="1:11">
      <c r="A209" s="134" t="s">
        <v>1085</v>
      </c>
      <c r="B209" s="132" t="s">
        <v>253</v>
      </c>
      <c r="C209" s="133" t="s">
        <v>2289</v>
      </c>
      <c r="D209" s="134" t="s">
        <v>1085</v>
      </c>
      <c r="E209" s="133" t="s">
        <v>2290</v>
      </c>
      <c r="F209" s="41">
        <f t="shared" si="3"/>
        <v>1</v>
      </c>
      <c r="H209" s="138" t="s">
        <v>2291</v>
      </c>
      <c r="I209" s="138" t="s">
        <v>2292</v>
      </c>
      <c r="J209" s="139"/>
      <c r="K209" s="138"/>
    </row>
    <row r="210" spans="1:11">
      <c r="A210" s="134" t="s">
        <v>1086</v>
      </c>
      <c r="B210" s="132" t="s">
        <v>519</v>
      </c>
      <c r="C210" s="133" t="s">
        <v>2293</v>
      </c>
      <c r="D210" s="134" t="s">
        <v>1086</v>
      </c>
      <c r="E210" s="133" t="s">
        <v>2294</v>
      </c>
      <c r="F210" s="41">
        <f t="shared" si="3"/>
        <v>1</v>
      </c>
      <c r="H210" s="138" t="s">
        <v>2295</v>
      </c>
      <c r="I210" s="138" t="s">
        <v>2296</v>
      </c>
      <c r="J210" s="139"/>
      <c r="K210" s="138"/>
    </row>
    <row r="211" spans="1:11" ht="24.75">
      <c r="A211" s="134" t="s">
        <v>1087</v>
      </c>
      <c r="B211" s="132" t="s">
        <v>437</v>
      </c>
      <c r="C211" s="133" t="s">
        <v>2297</v>
      </c>
      <c r="D211" s="134" t="s">
        <v>1087</v>
      </c>
      <c r="E211" s="133" t="s">
        <v>2298</v>
      </c>
      <c r="F211" s="41">
        <f t="shared" si="3"/>
        <v>1</v>
      </c>
      <c r="H211" s="138" t="s">
        <v>2299</v>
      </c>
      <c r="I211" s="138" t="s">
        <v>2300</v>
      </c>
      <c r="J211" s="139"/>
      <c r="K211" s="138"/>
    </row>
    <row r="212" spans="1:11" ht="24.75">
      <c r="A212" s="134" t="s">
        <v>1088</v>
      </c>
      <c r="B212" s="132" t="s">
        <v>479</v>
      </c>
      <c r="C212" s="133" t="s">
        <v>2301</v>
      </c>
      <c r="D212" s="134" t="s">
        <v>1088</v>
      </c>
      <c r="E212" s="133" t="s">
        <v>2302</v>
      </c>
      <c r="F212" s="41">
        <f t="shared" si="3"/>
        <v>1</v>
      </c>
      <c r="H212" s="138" t="s">
        <v>2303</v>
      </c>
      <c r="I212" s="138" t="s">
        <v>2304</v>
      </c>
      <c r="J212" s="139"/>
      <c r="K212" s="138"/>
    </row>
    <row r="213" spans="1:11">
      <c r="A213" s="134" t="s">
        <v>1091</v>
      </c>
      <c r="B213" s="132" t="s">
        <v>1090</v>
      </c>
      <c r="C213" s="133" t="s">
        <v>2305</v>
      </c>
      <c r="D213" s="134" t="s">
        <v>1091</v>
      </c>
      <c r="E213" s="133" t="s">
        <v>2306</v>
      </c>
      <c r="F213" s="41">
        <f t="shared" si="3"/>
        <v>1</v>
      </c>
      <c r="H213" s="138" t="s">
        <v>2307</v>
      </c>
      <c r="I213" s="138" t="s">
        <v>2308</v>
      </c>
      <c r="J213" s="139"/>
      <c r="K213" s="138"/>
    </row>
    <row r="214" spans="1:11">
      <c r="A214" s="134" t="s">
        <v>1093</v>
      </c>
      <c r="B214" s="132" t="s">
        <v>1092</v>
      </c>
      <c r="C214" s="133" t="s">
        <v>2309</v>
      </c>
      <c r="D214" s="134" t="s">
        <v>1093</v>
      </c>
      <c r="E214" s="133" t="s">
        <v>2310</v>
      </c>
      <c r="F214" s="41">
        <f t="shared" si="3"/>
        <v>1</v>
      </c>
      <c r="H214" s="138" t="s">
        <v>2311</v>
      </c>
      <c r="I214" s="138" t="s">
        <v>2312</v>
      </c>
      <c r="J214" s="139"/>
      <c r="K214" s="138"/>
    </row>
    <row r="215" spans="1:11">
      <c r="A215" s="134" t="s">
        <v>1095</v>
      </c>
      <c r="B215" s="132" t="s">
        <v>1094</v>
      </c>
      <c r="C215" s="133" t="s">
        <v>2313</v>
      </c>
      <c r="D215" s="134" t="s">
        <v>1095</v>
      </c>
      <c r="E215" s="133" t="s">
        <v>2314</v>
      </c>
      <c r="F215" s="41">
        <f t="shared" si="3"/>
        <v>1</v>
      </c>
      <c r="H215" s="138" t="s">
        <v>2315</v>
      </c>
      <c r="I215" s="138" t="s">
        <v>2316</v>
      </c>
      <c r="J215" s="139"/>
      <c r="K215" s="138"/>
    </row>
    <row r="216" spans="1:11">
      <c r="A216" s="134" t="s">
        <v>1081</v>
      </c>
      <c r="B216" s="132" t="s">
        <v>603</v>
      </c>
      <c r="C216" s="133" t="s">
        <v>2273</v>
      </c>
      <c r="D216" s="134" t="s">
        <v>1081</v>
      </c>
      <c r="E216" s="133" t="s">
        <v>2274</v>
      </c>
      <c r="F216" s="41">
        <f t="shared" si="3"/>
        <v>2</v>
      </c>
      <c r="H216" s="138" t="s">
        <v>2317</v>
      </c>
      <c r="I216" s="138" t="s">
        <v>2318</v>
      </c>
      <c r="J216" s="139"/>
      <c r="K216" s="138"/>
    </row>
    <row r="217" spans="1:11">
      <c r="A217" s="134" t="s">
        <v>1096</v>
      </c>
      <c r="B217" s="132" t="s">
        <v>433</v>
      </c>
      <c r="C217" s="133" t="s">
        <v>2319</v>
      </c>
      <c r="D217" s="134" t="s">
        <v>1096</v>
      </c>
      <c r="E217" s="133" t="s">
        <v>2320</v>
      </c>
      <c r="F217" s="41">
        <f t="shared" si="3"/>
        <v>1</v>
      </c>
      <c r="H217" s="138" t="s">
        <v>2321</v>
      </c>
      <c r="I217" s="138" t="s">
        <v>2322</v>
      </c>
      <c r="J217" s="139"/>
      <c r="K217" s="138"/>
    </row>
    <row r="218" spans="1:11">
      <c r="A218" s="134" t="s">
        <v>1097</v>
      </c>
      <c r="B218" s="132" t="s">
        <v>475</v>
      </c>
      <c r="C218" s="133" t="s">
        <v>2323</v>
      </c>
      <c r="D218" s="134" t="s">
        <v>1097</v>
      </c>
      <c r="E218" s="133" t="s">
        <v>2324</v>
      </c>
      <c r="F218" s="41">
        <f t="shared" si="3"/>
        <v>1</v>
      </c>
      <c r="H218" s="138" t="s">
        <v>2325</v>
      </c>
      <c r="I218" s="138" t="s">
        <v>2326</v>
      </c>
      <c r="J218" s="139"/>
      <c r="K218" s="138"/>
    </row>
    <row r="219" spans="1:11">
      <c r="A219" s="134" t="s">
        <v>1098</v>
      </c>
      <c r="B219" s="132" t="s">
        <v>482</v>
      </c>
      <c r="C219" s="133" t="s">
        <v>2327</v>
      </c>
      <c r="D219" s="134" t="s">
        <v>1098</v>
      </c>
      <c r="E219" s="133" t="s">
        <v>2328</v>
      </c>
      <c r="F219" s="41">
        <f t="shared" si="3"/>
        <v>1</v>
      </c>
      <c r="H219" s="138" t="s">
        <v>2329</v>
      </c>
      <c r="I219" s="138" t="s">
        <v>2330</v>
      </c>
      <c r="J219" s="139"/>
      <c r="K219" s="138"/>
    </row>
    <row r="220" spans="1:11">
      <c r="A220" s="134" t="s">
        <v>1099</v>
      </c>
      <c r="B220" s="132" t="s">
        <v>439</v>
      </c>
      <c r="C220" s="133" t="s">
        <v>2331</v>
      </c>
      <c r="D220" s="134" t="s">
        <v>1099</v>
      </c>
      <c r="E220" s="133" t="s">
        <v>2332</v>
      </c>
      <c r="F220" s="41">
        <f t="shared" si="3"/>
        <v>1</v>
      </c>
      <c r="H220" s="138" t="s">
        <v>2333</v>
      </c>
      <c r="I220" s="138" t="s">
        <v>2334</v>
      </c>
      <c r="J220" s="139"/>
      <c r="K220" s="138"/>
    </row>
    <row r="221" spans="1:11">
      <c r="A221" s="134" t="s">
        <v>1100</v>
      </c>
      <c r="B221" s="132" t="s">
        <v>156</v>
      </c>
      <c r="C221" s="133" t="s">
        <v>2335</v>
      </c>
      <c r="D221" s="134" t="s">
        <v>1100</v>
      </c>
      <c r="E221" s="133" t="s">
        <v>2336</v>
      </c>
      <c r="F221" s="41">
        <f t="shared" si="3"/>
        <v>1</v>
      </c>
      <c r="H221" s="138" t="s">
        <v>2337</v>
      </c>
      <c r="I221" s="138" t="s">
        <v>2338</v>
      </c>
      <c r="J221" s="139"/>
      <c r="K221" s="138"/>
    </row>
    <row r="222" spans="1:11" ht="24.75">
      <c r="A222" s="134" t="s">
        <v>1101</v>
      </c>
      <c r="B222" s="132" t="s">
        <v>153</v>
      </c>
      <c r="C222" s="133" t="s">
        <v>2339</v>
      </c>
      <c r="D222" s="134" t="s">
        <v>1101</v>
      </c>
      <c r="E222" s="133" t="s">
        <v>2340</v>
      </c>
      <c r="F222" s="41">
        <f t="shared" si="3"/>
        <v>2</v>
      </c>
      <c r="H222" s="138" t="s">
        <v>2341</v>
      </c>
      <c r="I222" s="138" t="s">
        <v>2342</v>
      </c>
      <c r="J222" s="139"/>
      <c r="K222" s="138"/>
    </row>
    <row r="223" spans="1:11">
      <c r="A223" s="134" t="s">
        <v>1102</v>
      </c>
      <c r="B223" s="132" t="s">
        <v>155</v>
      </c>
      <c r="C223" s="133" t="s">
        <v>2343</v>
      </c>
      <c r="D223" s="134" t="s">
        <v>1102</v>
      </c>
      <c r="E223" s="133" t="s">
        <v>2344</v>
      </c>
      <c r="F223" s="41">
        <f t="shared" si="3"/>
        <v>1</v>
      </c>
      <c r="H223" s="138" t="s">
        <v>2345</v>
      </c>
      <c r="I223" s="138" t="s">
        <v>2346</v>
      </c>
      <c r="J223" s="139"/>
      <c r="K223" s="138"/>
    </row>
    <row r="224" spans="1:11" ht="24.75">
      <c r="A224" s="134" t="s">
        <v>1103</v>
      </c>
      <c r="B224" s="132" t="s">
        <v>157</v>
      </c>
      <c r="C224" s="133" t="s">
        <v>2347</v>
      </c>
      <c r="D224" s="134" t="s">
        <v>1103</v>
      </c>
      <c r="E224" s="133" t="s">
        <v>2348</v>
      </c>
      <c r="F224" s="41">
        <f t="shared" si="3"/>
        <v>1</v>
      </c>
      <c r="H224" s="138" t="s">
        <v>2349</v>
      </c>
      <c r="I224" s="138" t="s">
        <v>2350</v>
      </c>
      <c r="J224" s="139"/>
      <c r="K224" s="138"/>
    </row>
    <row r="225" spans="1:11" ht="36.75">
      <c r="A225" s="134" t="s">
        <v>1106</v>
      </c>
      <c r="B225" s="132" t="s">
        <v>474</v>
      </c>
      <c r="C225" s="133" t="s">
        <v>2351</v>
      </c>
      <c r="D225" s="134" t="s">
        <v>1106</v>
      </c>
      <c r="E225" s="133" t="s">
        <v>2352</v>
      </c>
      <c r="F225" s="41">
        <f t="shared" si="3"/>
        <v>1</v>
      </c>
      <c r="H225" s="138" t="s">
        <v>2353</v>
      </c>
      <c r="I225" s="138" t="s">
        <v>2354</v>
      </c>
      <c r="J225" s="139"/>
      <c r="K225" s="138"/>
    </row>
    <row r="226" spans="1:11" ht="36.75">
      <c r="A226" s="134" t="s">
        <v>1107</v>
      </c>
      <c r="B226" s="132" t="s">
        <v>516</v>
      </c>
      <c r="C226" s="133" t="s">
        <v>2355</v>
      </c>
      <c r="D226" s="134" t="s">
        <v>1107</v>
      </c>
      <c r="E226" s="133" t="s">
        <v>2356</v>
      </c>
      <c r="F226" s="41">
        <f t="shared" si="3"/>
        <v>1</v>
      </c>
      <c r="H226" s="138" t="s">
        <v>2357</v>
      </c>
      <c r="I226" s="138" t="s">
        <v>2358</v>
      </c>
      <c r="J226" s="139"/>
      <c r="K226" s="138"/>
    </row>
    <row r="227" spans="1:11" ht="36.75">
      <c r="A227" s="134" t="s">
        <v>1108</v>
      </c>
      <c r="B227" s="132" t="s">
        <v>541</v>
      </c>
      <c r="C227" s="133" t="s">
        <v>2359</v>
      </c>
      <c r="D227" s="134" t="s">
        <v>1108</v>
      </c>
      <c r="E227" s="133" t="s">
        <v>2360</v>
      </c>
      <c r="F227" s="41">
        <f t="shared" si="3"/>
        <v>1</v>
      </c>
      <c r="H227" s="138" t="s">
        <v>2361</v>
      </c>
      <c r="I227" s="138" t="s">
        <v>2362</v>
      </c>
      <c r="J227" s="139"/>
      <c r="K227" s="138"/>
    </row>
    <row r="228" spans="1:11" s="97" customFormat="1">
      <c r="A228" s="157" t="s">
        <v>817</v>
      </c>
      <c r="B228" s="158" t="s">
        <v>432</v>
      </c>
      <c r="C228" s="159" t="s">
        <v>2363</v>
      </c>
      <c r="D228" s="157" t="s">
        <v>817</v>
      </c>
      <c r="E228" s="159" t="s">
        <v>2364</v>
      </c>
      <c r="F228" s="160">
        <f t="shared" si="3"/>
        <v>4</v>
      </c>
      <c r="H228" s="161" t="s">
        <v>2365</v>
      </c>
      <c r="I228" s="161" t="s">
        <v>530</v>
      </c>
      <c r="J228" s="162"/>
      <c r="K228" s="161"/>
    </row>
    <row r="229" spans="1:11">
      <c r="A229" s="134" t="s">
        <v>1110</v>
      </c>
      <c r="B229" s="132" t="s">
        <v>615</v>
      </c>
      <c r="C229" s="133" t="s">
        <v>2366</v>
      </c>
      <c r="D229" s="134" t="s">
        <v>1110</v>
      </c>
      <c r="E229" s="133" t="s">
        <v>2367</v>
      </c>
      <c r="F229" s="41">
        <f t="shared" si="3"/>
        <v>1</v>
      </c>
      <c r="H229" s="138" t="s">
        <v>2368</v>
      </c>
      <c r="I229" s="138" t="s">
        <v>2369</v>
      </c>
      <c r="J229" s="139"/>
      <c r="K229" s="138"/>
    </row>
    <row r="230" spans="1:11">
      <c r="A230" s="134" t="s">
        <v>1111</v>
      </c>
      <c r="B230" s="132" t="s">
        <v>616</v>
      </c>
      <c r="C230" s="133" t="s">
        <v>2370</v>
      </c>
      <c r="D230" s="134" t="s">
        <v>1111</v>
      </c>
      <c r="E230" s="133" t="s">
        <v>2371</v>
      </c>
      <c r="F230" s="41">
        <f t="shared" si="3"/>
        <v>1</v>
      </c>
      <c r="H230" s="138" t="s">
        <v>2372</v>
      </c>
      <c r="I230" s="138" t="s">
        <v>2373</v>
      </c>
      <c r="J230" s="139"/>
      <c r="K230" s="138"/>
    </row>
    <row r="231" spans="1:11">
      <c r="A231" s="134" t="s">
        <v>1112</v>
      </c>
      <c r="B231" s="132" t="s">
        <v>612</v>
      </c>
      <c r="C231" s="133" t="s">
        <v>2374</v>
      </c>
      <c r="D231" s="134" t="s">
        <v>1112</v>
      </c>
      <c r="E231" s="133" t="s">
        <v>2375</v>
      </c>
      <c r="F231" s="41">
        <f t="shared" si="3"/>
        <v>1</v>
      </c>
      <c r="H231" s="138" t="s">
        <v>2376</v>
      </c>
      <c r="I231" s="138" t="s">
        <v>2377</v>
      </c>
      <c r="J231" s="139"/>
      <c r="K231" s="138"/>
    </row>
    <row r="232" spans="1:11">
      <c r="A232" s="134" t="s">
        <v>1113</v>
      </c>
      <c r="B232" s="132" t="s">
        <v>614</v>
      </c>
      <c r="C232" s="133" t="s">
        <v>2378</v>
      </c>
      <c r="D232" s="134" t="s">
        <v>1113</v>
      </c>
      <c r="E232" s="133" t="s">
        <v>2379</v>
      </c>
      <c r="F232" s="41">
        <f t="shared" si="3"/>
        <v>1</v>
      </c>
      <c r="H232" s="138" t="s">
        <v>2380</v>
      </c>
      <c r="I232" s="138" t="s">
        <v>2381</v>
      </c>
      <c r="J232" s="139"/>
      <c r="K232" s="138"/>
    </row>
    <row r="233" spans="1:11">
      <c r="A233" s="134" t="s">
        <v>1114</v>
      </c>
      <c r="B233" s="132" t="s">
        <v>563</v>
      </c>
      <c r="C233" s="133" t="s">
        <v>2382</v>
      </c>
      <c r="D233" s="134" t="s">
        <v>1114</v>
      </c>
      <c r="E233" s="133" t="s">
        <v>2383</v>
      </c>
      <c r="F233" s="41">
        <f t="shared" si="3"/>
        <v>1</v>
      </c>
      <c r="H233" s="138" t="s">
        <v>2384</v>
      </c>
      <c r="I233" s="138" t="s">
        <v>2385</v>
      </c>
      <c r="J233" s="139"/>
      <c r="K233" s="138"/>
    </row>
    <row r="234" spans="1:11">
      <c r="A234" s="134" t="s">
        <v>1115</v>
      </c>
      <c r="B234" s="132" t="s">
        <v>580</v>
      </c>
      <c r="C234" s="133" t="s">
        <v>2386</v>
      </c>
      <c r="D234" s="134" t="s">
        <v>1115</v>
      </c>
      <c r="E234" s="133" t="s">
        <v>2387</v>
      </c>
      <c r="F234" s="41">
        <f t="shared" si="3"/>
        <v>1</v>
      </c>
      <c r="H234" s="138" t="s">
        <v>2388</v>
      </c>
      <c r="I234" s="138" t="s">
        <v>2389</v>
      </c>
      <c r="J234" s="139"/>
      <c r="K234" s="138"/>
    </row>
    <row r="235" spans="1:11">
      <c r="A235" s="131" t="s">
        <v>709</v>
      </c>
      <c r="B235" s="129" t="s">
        <v>254</v>
      </c>
      <c r="C235" s="130" t="s">
        <v>2390</v>
      </c>
      <c r="D235" s="131" t="s">
        <v>709</v>
      </c>
      <c r="E235" s="130" t="s">
        <v>2391</v>
      </c>
      <c r="F235" s="41">
        <f t="shared" si="3"/>
        <v>1</v>
      </c>
      <c r="H235" s="138" t="s">
        <v>2392</v>
      </c>
      <c r="I235" s="138" t="s">
        <v>2393</v>
      </c>
      <c r="J235" s="139"/>
      <c r="K235" s="138"/>
    </row>
    <row r="236" spans="1:11" ht="24.75">
      <c r="A236" s="134" t="s">
        <v>712</v>
      </c>
      <c r="B236" s="132" t="s">
        <v>255</v>
      </c>
      <c r="C236" s="133" t="s">
        <v>2394</v>
      </c>
      <c r="D236" s="134" t="s">
        <v>712</v>
      </c>
      <c r="E236" s="133" t="s">
        <v>2395</v>
      </c>
      <c r="F236" s="41">
        <f t="shared" si="3"/>
        <v>1</v>
      </c>
      <c r="H236" s="138" t="s">
        <v>2396</v>
      </c>
      <c r="I236" s="138" t="s">
        <v>2397</v>
      </c>
      <c r="J236" s="139"/>
      <c r="K236" s="138"/>
    </row>
    <row r="237" spans="1:11">
      <c r="A237" s="134" t="s">
        <v>717</v>
      </c>
      <c r="B237" s="132" t="s">
        <v>257</v>
      </c>
      <c r="C237" s="133" t="s">
        <v>2398</v>
      </c>
      <c r="D237" s="134" t="s">
        <v>717</v>
      </c>
      <c r="E237" s="133" t="s">
        <v>2399</v>
      </c>
      <c r="F237" s="41">
        <f t="shared" si="3"/>
        <v>1</v>
      </c>
      <c r="H237" s="138" t="s">
        <v>2400</v>
      </c>
      <c r="I237" s="138" t="s">
        <v>2401</v>
      </c>
      <c r="J237" s="139"/>
      <c r="K237" s="138"/>
    </row>
    <row r="238" spans="1:11" ht="27">
      <c r="A238" s="134" t="s">
        <v>722</v>
      </c>
      <c r="B238" s="132" t="s">
        <v>259</v>
      </c>
      <c r="C238" s="133" t="s">
        <v>2402</v>
      </c>
      <c r="D238" s="134" t="s">
        <v>722</v>
      </c>
      <c r="E238" s="133" t="s">
        <v>2403</v>
      </c>
      <c r="F238" s="41">
        <f t="shared" si="3"/>
        <v>1</v>
      </c>
      <c r="H238" s="138" t="s">
        <v>2404</v>
      </c>
      <c r="I238" s="138" t="s">
        <v>2405</v>
      </c>
      <c r="J238" s="139"/>
      <c r="K238" s="138"/>
    </row>
    <row r="239" spans="1:11">
      <c r="A239" s="134" t="s">
        <v>727</v>
      </c>
      <c r="B239" s="132" t="s">
        <v>258</v>
      </c>
      <c r="C239" s="133" t="s">
        <v>2406</v>
      </c>
      <c r="D239" s="134" t="s">
        <v>727</v>
      </c>
      <c r="E239" s="133" t="s">
        <v>2407</v>
      </c>
      <c r="F239" s="41">
        <f t="shared" si="3"/>
        <v>1</v>
      </c>
      <c r="H239" s="138" t="s">
        <v>2408</v>
      </c>
      <c r="I239" s="138" t="s">
        <v>2409</v>
      </c>
      <c r="J239" s="139"/>
      <c r="K239" s="138"/>
    </row>
    <row r="240" spans="1:11" ht="24.75">
      <c r="A240" s="134" t="s">
        <v>735</v>
      </c>
      <c r="B240" s="132" t="s">
        <v>261</v>
      </c>
      <c r="C240" s="133" t="s">
        <v>2410</v>
      </c>
      <c r="D240" s="134" t="s">
        <v>735</v>
      </c>
      <c r="E240" s="133" t="s">
        <v>2411</v>
      </c>
      <c r="F240" s="41">
        <f t="shared" si="3"/>
        <v>1</v>
      </c>
      <c r="H240" s="138" t="s">
        <v>2412</v>
      </c>
      <c r="I240" s="138" t="s">
        <v>2413</v>
      </c>
      <c r="J240" s="139"/>
      <c r="K240" s="138"/>
    </row>
    <row r="241" spans="1:11">
      <c r="A241" s="134" t="s">
        <v>727</v>
      </c>
      <c r="B241" s="132" t="s">
        <v>256</v>
      </c>
      <c r="C241" s="133" t="s">
        <v>2406</v>
      </c>
      <c r="D241" s="134" t="s">
        <v>727</v>
      </c>
      <c r="E241" s="133" t="s">
        <v>2407</v>
      </c>
      <c r="F241" s="41">
        <f t="shared" si="3"/>
        <v>1</v>
      </c>
      <c r="H241" s="138" t="s">
        <v>2414</v>
      </c>
      <c r="I241" s="138" t="s">
        <v>2415</v>
      </c>
      <c r="J241" s="139"/>
      <c r="K241" s="138"/>
    </row>
    <row r="242" spans="1:11" ht="15.75">
      <c r="A242" s="134"/>
      <c r="B242" s="132"/>
      <c r="C242" s="133"/>
      <c r="D242" s="134"/>
      <c r="E242" s="133"/>
      <c r="F242" s="41">
        <f t="shared" si="3"/>
        <v>0</v>
      </c>
      <c r="H242" s="138" t="s">
        <v>2416</v>
      </c>
      <c r="I242" s="138" t="s">
        <v>2417</v>
      </c>
      <c r="J242" s="139"/>
      <c r="K242" s="138"/>
    </row>
    <row r="243" spans="1:11">
      <c r="A243" s="131" t="s">
        <v>739</v>
      </c>
      <c r="B243" s="129" t="s">
        <v>230</v>
      </c>
      <c r="C243" s="130" t="s">
        <v>2418</v>
      </c>
      <c r="D243" s="131" t="s">
        <v>739</v>
      </c>
      <c r="E243" s="130" t="s">
        <v>2419</v>
      </c>
      <c r="F243" s="41">
        <f t="shared" si="3"/>
        <v>1</v>
      </c>
      <c r="H243" s="138" t="s">
        <v>2420</v>
      </c>
      <c r="I243" s="138" t="s">
        <v>2421</v>
      </c>
      <c r="J243" s="139"/>
      <c r="K243" s="138"/>
    </row>
    <row r="244" spans="1:11">
      <c r="A244" s="134" t="s">
        <v>742</v>
      </c>
      <c r="B244" s="132" t="s">
        <v>233</v>
      </c>
      <c r="C244" s="133" t="s">
        <v>2422</v>
      </c>
      <c r="D244" s="134" t="s">
        <v>742</v>
      </c>
      <c r="E244" s="133" t="s">
        <v>2423</v>
      </c>
      <c r="F244" s="41">
        <f t="shared" si="3"/>
        <v>1</v>
      </c>
      <c r="H244" s="138" t="s">
        <v>2424</v>
      </c>
      <c r="I244" s="138" t="s">
        <v>2425</v>
      </c>
      <c r="J244" s="139"/>
      <c r="K244" s="138"/>
    </row>
    <row r="245" spans="1:11">
      <c r="A245" s="134" t="s">
        <v>746</v>
      </c>
      <c r="B245" s="132" t="s">
        <v>252</v>
      </c>
      <c r="C245" s="133" t="s">
        <v>2426</v>
      </c>
      <c r="D245" s="134" t="s">
        <v>746</v>
      </c>
      <c r="E245" s="133" t="s">
        <v>2427</v>
      </c>
      <c r="F245" s="41">
        <f t="shared" si="3"/>
        <v>1</v>
      </c>
      <c r="H245" s="138" t="s">
        <v>2428</v>
      </c>
      <c r="I245" s="138" t="s">
        <v>2429</v>
      </c>
      <c r="J245" s="139"/>
      <c r="K245" s="138"/>
    </row>
    <row r="246" spans="1:11">
      <c r="A246" s="134" t="s">
        <v>765</v>
      </c>
      <c r="B246" s="132" t="s">
        <v>236</v>
      </c>
      <c r="C246" s="133" t="s">
        <v>2430</v>
      </c>
      <c r="D246" s="134" t="s">
        <v>765</v>
      </c>
      <c r="E246" s="133" t="s">
        <v>2431</v>
      </c>
      <c r="F246" s="41">
        <f t="shared" si="3"/>
        <v>1</v>
      </c>
      <c r="H246" s="138" t="s">
        <v>2432</v>
      </c>
      <c r="I246" s="138" t="s">
        <v>2433</v>
      </c>
      <c r="J246" s="139"/>
      <c r="K246" s="138"/>
    </row>
    <row r="247" spans="1:11">
      <c r="A247" s="134" t="s">
        <v>767</v>
      </c>
      <c r="B247" s="132" t="s">
        <v>249</v>
      </c>
      <c r="C247" s="133" t="s">
        <v>2434</v>
      </c>
      <c r="D247" s="134" t="s">
        <v>767</v>
      </c>
      <c r="E247" s="133" t="s">
        <v>2435</v>
      </c>
      <c r="F247" s="41">
        <f t="shared" si="3"/>
        <v>1</v>
      </c>
      <c r="H247" s="138" t="s">
        <v>2436</v>
      </c>
      <c r="I247" s="138" t="s">
        <v>2437</v>
      </c>
      <c r="J247" s="139"/>
      <c r="K247" s="138"/>
    </row>
    <row r="248" spans="1:11">
      <c r="A248" s="134" t="s">
        <v>765</v>
      </c>
      <c r="B248" s="132" t="s">
        <v>250</v>
      </c>
      <c r="C248" s="133" t="s">
        <v>2430</v>
      </c>
      <c r="D248" s="134" t="s">
        <v>765</v>
      </c>
      <c r="E248" s="133" t="s">
        <v>2431</v>
      </c>
      <c r="F248" s="41">
        <f t="shared" si="3"/>
        <v>1</v>
      </c>
      <c r="H248" s="138" t="s">
        <v>2438</v>
      </c>
      <c r="I248" s="138" t="s">
        <v>2439</v>
      </c>
      <c r="J248" s="139"/>
      <c r="K248" s="138"/>
    </row>
    <row r="249" spans="1:11">
      <c r="A249" s="134" t="s">
        <v>770</v>
      </c>
      <c r="B249" s="132" t="s">
        <v>239</v>
      </c>
      <c r="C249" s="133" t="s">
        <v>2440</v>
      </c>
      <c r="D249" s="134" t="s">
        <v>770</v>
      </c>
      <c r="E249" s="133" t="s">
        <v>2441</v>
      </c>
      <c r="F249" s="41">
        <f t="shared" si="3"/>
        <v>1</v>
      </c>
      <c r="H249" s="138" t="s">
        <v>2442</v>
      </c>
      <c r="I249" s="138" t="s">
        <v>2443</v>
      </c>
      <c r="J249" s="139"/>
      <c r="K249" s="138"/>
    </row>
    <row r="250" spans="1:11">
      <c r="A250" s="134" t="s">
        <v>772</v>
      </c>
      <c r="B250" s="132" t="s">
        <v>245</v>
      </c>
      <c r="C250" s="133" t="s">
        <v>2444</v>
      </c>
      <c r="D250" s="134" t="s">
        <v>772</v>
      </c>
      <c r="E250" s="133" t="s">
        <v>2445</v>
      </c>
      <c r="F250" s="41">
        <f t="shared" si="3"/>
        <v>1</v>
      </c>
      <c r="H250" s="138" t="s">
        <v>2446</v>
      </c>
      <c r="I250" s="138" t="s">
        <v>2447</v>
      </c>
      <c r="J250" s="139"/>
      <c r="K250" s="138"/>
    </row>
    <row r="251" spans="1:11">
      <c r="A251" s="134" t="s">
        <v>773</v>
      </c>
      <c r="B251" s="132" t="s">
        <v>248</v>
      </c>
      <c r="C251" s="133" t="s">
        <v>2448</v>
      </c>
      <c r="D251" s="134" t="s">
        <v>773</v>
      </c>
      <c r="E251" s="133" t="s">
        <v>2449</v>
      </c>
      <c r="F251" s="41">
        <f t="shared" si="3"/>
        <v>1</v>
      </c>
      <c r="J251" s="139"/>
    </row>
    <row r="252" spans="1:11">
      <c r="A252" s="134" t="s">
        <v>738</v>
      </c>
      <c r="B252" s="132" t="s">
        <v>775</v>
      </c>
      <c r="C252" s="133" t="s">
        <v>1171</v>
      </c>
      <c r="D252" s="134" t="s">
        <v>738</v>
      </c>
      <c r="E252" s="133" t="s">
        <v>1172</v>
      </c>
      <c r="F252" s="41">
        <f t="shared" si="3"/>
        <v>1</v>
      </c>
      <c r="J252" s="139"/>
    </row>
    <row r="253" spans="1:11">
      <c r="A253" s="134" t="s">
        <v>765</v>
      </c>
      <c r="B253" s="132" t="s">
        <v>242</v>
      </c>
      <c r="C253" s="133" t="s">
        <v>2430</v>
      </c>
      <c r="D253" s="134" t="s">
        <v>765</v>
      </c>
      <c r="E253" s="133" t="s">
        <v>2431</v>
      </c>
      <c r="F253" s="41">
        <f t="shared" si="3"/>
        <v>1</v>
      </c>
      <c r="J253" s="139"/>
    </row>
    <row r="254" spans="1:11">
      <c r="A254" s="131" t="s">
        <v>778</v>
      </c>
      <c r="B254" s="129" t="s">
        <v>198</v>
      </c>
      <c r="C254" s="130" t="s">
        <v>2450</v>
      </c>
      <c r="D254" s="131" t="s">
        <v>778</v>
      </c>
      <c r="E254" s="130" t="s">
        <v>2451</v>
      </c>
      <c r="F254" s="41">
        <f t="shared" si="3"/>
        <v>2</v>
      </c>
      <c r="J254" s="139"/>
    </row>
    <row r="255" spans="1:11">
      <c r="A255" s="134" t="s">
        <v>738</v>
      </c>
      <c r="B255" s="132" t="s">
        <v>199</v>
      </c>
      <c r="C255" s="133" t="s">
        <v>1171</v>
      </c>
      <c r="D255" s="134" t="s">
        <v>738</v>
      </c>
      <c r="E255" s="133" t="s">
        <v>1172</v>
      </c>
      <c r="F255" s="41">
        <f t="shared" si="3"/>
        <v>1</v>
      </c>
      <c r="J255" s="139"/>
    </row>
    <row r="256" spans="1:11">
      <c r="A256" s="134" t="s">
        <v>781</v>
      </c>
      <c r="B256" s="132" t="s">
        <v>198</v>
      </c>
      <c r="C256" s="133" t="s">
        <v>1311</v>
      </c>
      <c r="D256" s="134" t="s">
        <v>781</v>
      </c>
      <c r="E256" s="133" t="s">
        <v>1312</v>
      </c>
      <c r="F256" s="41">
        <f t="shared" si="3"/>
        <v>2</v>
      </c>
      <c r="J256" s="139"/>
    </row>
    <row r="257" spans="1:10">
      <c r="A257" s="131" t="s">
        <v>783</v>
      </c>
      <c r="B257" s="129" t="s">
        <v>71</v>
      </c>
      <c r="C257" s="130" t="s">
        <v>1659</v>
      </c>
      <c r="D257" s="131" t="s">
        <v>783</v>
      </c>
      <c r="E257" s="130" t="s">
        <v>1660</v>
      </c>
      <c r="F257" s="41">
        <f t="shared" si="3"/>
        <v>2</v>
      </c>
      <c r="J257" s="139"/>
    </row>
    <row r="258" spans="1:10">
      <c r="A258" s="134" t="s">
        <v>2452</v>
      </c>
      <c r="B258" s="132" t="s">
        <v>280</v>
      </c>
      <c r="C258" s="133" t="s">
        <v>2453</v>
      </c>
      <c r="D258" s="134" t="s">
        <v>2452</v>
      </c>
      <c r="E258" s="133" t="s">
        <v>2454</v>
      </c>
      <c r="F258" s="41">
        <f t="shared" si="3"/>
        <v>1</v>
      </c>
      <c r="J258" s="139"/>
    </row>
    <row r="259" spans="1:10">
      <c r="A259" s="134" t="s">
        <v>787</v>
      </c>
      <c r="B259" s="132" t="s">
        <v>260</v>
      </c>
      <c r="C259" s="133" t="s">
        <v>1631</v>
      </c>
      <c r="D259" s="134" t="s">
        <v>787</v>
      </c>
      <c r="E259" s="133" t="s">
        <v>1632</v>
      </c>
      <c r="F259" s="41">
        <f t="shared" ref="F259:F322" si="4">COUNTIF(B:B,B259)</f>
        <v>1</v>
      </c>
      <c r="J259" s="139"/>
    </row>
    <row r="260" spans="1:10">
      <c r="A260" s="131" t="s">
        <v>2455</v>
      </c>
      <c r="B260" s="129" t="s">
        <v>790</v>
      </c>
      <c r="C260" s="130" t="s">
        <v>2456</v>
      </c>
      <c r="D260" s="131" t="s">
        <v>2455</v>
      </c>
      <c r="E260" s="130" t="s">
        <v>2457</v>
      </c>
      <c r="F260" s="41">
        <f t="shared" si="4"/>
        <v>1</v>
      </c>
      <c r="J260" s="139"/>
    </row>
    <row r="261" spans="1:10" ht="27">
      <c r="A261" s="134" t="s">
        <v>793</v>
      </c>
      <c r="B261" s="132" t="s">
        <v>291</v>
      </c>
      <c r="C261" s="133" t="s">
        <v>2458</v>
      </c>
      <c r="D261" s="134" t="s">
        <v>793</v>
      </c>
      <c r="E261" s="133" t="s">
        <v>2459</v>
      </c>
      <c r="F261" s="41">
        <f t="shared" si="4"/>
        <v>1</v>
      </c>
      <c r="J261" s="139"/>
    </row>
    <row r="262" spans="1:10" ht="27">
      <c r="A262" s="134" t="s">
        <v>794</v>
      </c>
      <c r="B262" s="132" t="s">
        <v>290</v>
      </c>
      <c r="C262" s="133" t="s">
        <v>2460</v>
      </c>
      <c r="D262" s="134" t="s">
        <v>794</v>
      </c>
      <c r="E262" s="133" t="s">
        <v>2461</v>
      </c>
      <c r="F262" s="41">
        <f t="shared" si="4"/>
        <v>1</v>
      </c>
      <c r="J262" s="139"/>
    </row>
    <row r="263" spans="1:10">
      <c r="A263" s="134" t="s">
        <v>796</v>
      </c>
      <c r="B263" s="132" t="s">
        <v>287</v>
      </c>
      <c r="C263" s="133" t="s">
        <v>2462</v>
      </c>
      <c r="D263" s="134" t="s">
        <v>796</v>
      </c>
      <c r="E263" s="133" t="s">
        <v>2463</v>
      </c>
      <c r="F263" s="41">
        <f t="shared" si="4"/>
        <v>1</v>
      </c>
      <c r="J263" s="139"/>
    </row>
    <row r="264" spans="1:10" ht="27">
      <c r="A264" s="134" t="s">
        <v>797</v>
      </c>
      <c r="B264" s="132" t="s">
        <v>288</v>
      </c>
      <c r="C264" s="133" t="s">
        <v>2464</v>
      </c>
      <c r="D264" s="134" t="s">
        <v>797</v>
      </c>
      <c r="E264" s="133" t="s">
        <v>2465</v>
      </c>
      <c r="F264" s="41">
        <f t="shared" si="4"/>
        <v>1</v>
      </c>
      <c r="J264" s="139"/>
    </row>
    <row r="265" spans="1:10">
      <c r="A265" s="134" t="s">
        <v>800</v>
      </c>
      <c r="B265" s="132" t="s">
        <v>268</v>
      </c>
      <c r="C265" s="133" t="s">
        <v>2466</v>
      </c>
      <c r="D265" s="134" t="s">
        <v>800</v>
      </c>
      <c r="E265" s="133" t="s">
        <v>2467</v>
      </c>
      <c r="F265" s="41">
        <f t="shared" si="4"/>
        <v>1</v>
      </c>
      <c r="J265" s="139"/>
    </row>
    <row r="266" spans="1:10">
      <c r="A266" s="134" t="s">
        <v>804</v>
      </c>
      <c r="B266" s="132" t="s">
        <v>269</v>
      </c>
      <c r="C266" s="133" t="s">
        <v>2468</v>
      </c>
      <c r="D266" s="134" t="s">
        <v>804</v>
      </c>
      <c r="E266" s="133" t="s">
        <v>2469</v>
      </c>
      <c r="F266" s="41">
        <f t="shared" si="4"/>
        <v>1</v>
      </c>
      <c r="J266" s="139"/>
    </row>
    <row r="267" spans="1:10">
      <c r="A267" s="131" t="s">
        <v>808</v>
      </c>
      <c r="B267" s="129" t="s">
        <v>807</v>
      </c>
      <c r="C267" s="130" t="s">
        <v>2470</v>
      </c>
      <c r="D267" s="131" t="s">
        <v>808</v>
      </c>
      <c r="E267" s="130" t="s">
        <v>2471</v>
      </c>
      <c r="F267" s="41">
        <f t="shared" si="4"/>
        <v>1</v>
      </c>
      <c r="J267" s="139"/>
    </row>
    <row r="268" spans="1:10" ht="24.75">
      <c r="A268" s="134" t="s">
        <v>810</v>
      </c>
      <c r="B268" s="132" t="s">
        <v>221</v>
      </c>
      <c r="C268" s="133" t="s">
        <v>2472</v>
      </c>
      <c r="D268" s="134" t="s">
        <v>810</v>
      </c>
      <c r="E268" s="133" t="s">
        <v>2473</v>
      </c>
      <c r="F268" s="41">
        <f t="shared" si="4"/>
        <v>1</v>
      </c>
      <c r="J268" s="139"/>
    </row>
    <row r="269" spans="1:10" ht="27">
      <c r="A269" s="134" t="s">
        <v>813</v>
      </c>
      <c r="B269" s="132" t="s">
        <v>224</v>
      </c>
      <c r="C269" s="133" t="s">
        <v>2474</v>
      </c>
      <c r="D269" s="134" t="s">
        <v>813</v>
      </c>
      <c r="E269" s="133" t="s">
        <v>2475</v>
      </c>
      <c r="F269" s="41">
        <f t="shared" si="4"/>
        <v>1</v>
      </c>
      <c r="J269" s="139"/>
    </row>
    <row r="270" spans="1:10" ht="27">
      <c r="A270" s="134" t="s">
        <v>814</v>
      </c>
      <c r="B270" s="132" t="s">
        <v>227</v>
      </c>
      <c r="C270" s="133" t="s">
        <v>2476</v>
      </c>
      <c r="D270" s="134" t="s">
        <v>814</v>
      </c>
      <c r="E270" s="133" t="s">
        <v>2477</v>
      </c>
      <c r="F270" s="41">
        <f t="shared" si="4"/>
        <v>1</v>
      </c>
      <c r="J270" s="139"/>
    </row>
    <row r="271" spans="1:10">
      <c r="A271" s="131" t="s">
        <v>816</v>
      </c>
      <c r="B271" s="129" t="s">
        <v>270</v>
      </c>
      <c r="C271" s="130" t="s">
        <v>2478</v>
      </c>
      <c r="D271" s="131" t="s">
        <v>816</v>
      </c>
      <c r="E271" s="130" t="s">
        <v>2479</v>
      </c>
      <c r="F271" s="41">
        <f t="shared" si="4"/>
        <v>1</v>
      </c>
      <c r="J271" s="139"/>
    </row>
    <row r="272" spans="1:10" ht="24.75">
      <c r="A272" s="134" t="s">
        <v>818</v>
      </c>
      <c r="B272" s="132" t="s">
        <v>274</v>
      </c>
      <c r="C272" s="133" t="s">
        <v>2480</v>
      </c>
      <c r="D272" s="134" t="s">
        <v>818</v>
      </c>
      <c r="E272" s="133" t="s">
        <v>2481</v>
      </c>
      <c r="F272" s="41">
        <f t="shared" si="4"/>
        <v>1</v>
      </c>
      <c r="J272" s="139"/>
    </row>
    <row r="273" spans="1:10" ht="40.5">
      <c r="A273" s="134" t="s">
        <v>738</v>
      </c>
      <c r="B273" s="132" t="s">
        <v>277</v>
      </c>
      <c r="C273" s="133" t="s">
        <v>1171</v>
      </c>
      <c r="D273" s="134" t="s">
        <v>738</v>
      </c>
      <c r="E273" s="133" t="s">
        <v>1172</v>
      </c>
      <c r="F273" s="41">
        <f t="shared" si="4"/>
        <v>1</v>
      </c>
      <c r="J273" s="139"/>
    </row>
    <row r="274" spans="1:10" ht="27">
      <c r="A274" s="134" t="s">
        <v>734</v>
      </c>
      <c r="B274" s="132" t="s">
        <v>271</v>
      </c>
      <c r="C274" s="133" t="s">
        <v>1165</v>
      </c>
      <c r="D274" s="134" t="s">
        <v>734</v>
      </c>
      <c r="E274" s="133" t="s">
        <v>1166</v>
      </c>
      <c r="F274" s="41">
        <f t="shared" si="4"/>
        <v>1</v>
      </c>
      <c r="J274" s="139"/>
    </row>
    <row r="275" spans="1:10">
      <c r="A275" s="134" t="s">
        <v>820</v>
      </c>
      <c r="B275" s="132" t="s">
        <v>275</v>
      </c>
      <c r="C275" s="133" t="s">
        <v>2482</v>
      </c>
      <c r="D275" s="134" t="s">
        <v>820</v>
      </c>
      <c r="E275" s="133" t="s">
        <v>2483</v>
      </c>
      <c r="F275" s="41">
        <f t="shared" si="4"/>
        <v>1</v>
      </c>
      <c r="J275" s="139"/>
    </row>
    <row r="276" spans="1:10">
      <c r="A276" s="134" t="s">
        <v>823</v>
      </c>
      <c r="B276" s="132" t="s">
        <v>276</v>
      </c>
      <c r="C276" s="133" t="s">
        <v>2484</v>
      </c>
      <c r="D276" s="134" t="s">
        <v>823</v>
      </c>
      <c r="E276" s="133" t="s">
        <v>2485</v>
      </c>
      <c r="F276" s="41">
        <f t="shared" si="4"/>
        <v>1</v>
      </c>
      <c r="J276" s="139"/>
    </row>
    <row r="277" spans="1:10" ht="27">
      <c r="A277" s="134" t="s">
        <v>826</v>
      </c>
      <c r="B277" s="132" t="s">
        <v>273</v>
      </c>
      <c r="C277" s="133" t="s">
        <v>2486</v>
      </c>
      <c r="D277" s="134" t="s">
        <v>826</v>
      </c>
      <c r="E277" s="133" t="s">
        <v>2487</v>
      </c>
      <c r="F277" s="41">
        <f t="shared" si="4"/>
        <v>1</v>
      </c>
      <c r="J277" s="139"/>
    </row>
    <row r="278" spans="1:10" ht="27">
      <c r="A278" s="134" t="s">
        <v>829</v>
      </c>
      <c r="B278" s="132" t="s">
        <v>272</v>
      </c>
      <c r="C278" s="133" t="s">
        <v>2488</v>
      </c>
      <c r="D278" s="134" t="s">
        <v>829</v>
      </c>
      <c r="E278" s="133" t="s">
        <v>2489</v>
      </c>
      <c r="F278" s="41">
        <f t="shared" si="4"/>
        <v>1</v>
      </c>
      <c r="J278" s="139"/>
    </row>
    <row r="279" spans="1:10">
      <c r="A279" s="134" t="s">
        <v>750</v>
      </c>
      <c r="B279" s="132" t="s">
        <v>1505</v>
      </c>
      <c r="C279" s="133" t="s">
        <v>750</v>
      </c>
      <c r="D279" s="134" t="s">
        <v>750</v>
      </c>
      <c r="E279" s="133" t="s">
        <v>750</v>
      </c>
      <c r="F279" s="41">
        <f t="shared" si="4"/>
        <v>1</v>
      </c>
      <c r="J279" s="139"/>
    </row>
    <row r="280" spans="1:10">
      <c r="A280" s="134" t="s">
        <v>750</v>
      </c>
      <c r="B280" s="132" t="s">
        <v>2490</v>
      </c>
      <c r="C280" s="133" t="s">
        <v>750</v>
      </c>
      <c r="D280" s="134" t="s">
        <v>750</v>
      </c>
      <c r="E280" s="133" t="s">
        <v>750</v>
      </c>
      <c r="F280" s="41">
        <f t="shared" si="4"/>
        <v>1</v>
      </c>
      <c r="J280" s="139"/>
    </row>
    <row r="281" spans="1:10">
      <c r="A281" s="131" t="s">
        <v>833</v>
      </c>
      <c r="B281" s="129" t="s">
        <v>281</v>
      </c>
      <c r="C281" s="130" t="s">
        <v>2491</v>
      </c>
      <c r="D281" s="131" t="s">
        <v>833</v>
      </c>
      <c r="E281" s="130" t="s">
        <v>2492</v>
      </c>
      <c r="F281" s="41">
        <f t="shared" si="4"/>
        <v>1</v>
      </c>
      <c r="J281" s="139"/>
    </row>
    <row r="282" spans="1:10">
      <c r="A282" s="134" t="s">
        <v>836</v>
      </c>
      <c r="B282" s="132" t="s">
        <v>302</v>
      </c>
      <c r="C282" s="133" t="s">
        <v>302</v>
      </c>
      <c r="D282" s="134" t="s">
        <v>836</v>
      </c>
      <c r="E282" s="133" t="s">
        <v>2493</v>
      </c>
      <c r="F282" s="41">
        <f t="shared" si="4"/>
        <v>1</v>
      </c>
      <c r="J282" s="139"/>
    </row>
    <row r="283" spans="1:10">
      <c r="A283" s="134" t="s">
        <v>841</v>
      </c>
      <c r="B283" s="132" t="s">
        <v>264</v>
      </c>
      <c r="C283" s="133" t="s">
        <v>2494</v>
      </c>
      <c r="D283" s="134" t="s">
        <v>841</v>
      </c>
      <c r="E283" s="133" t="s">
        <v>2495</v>
      </c>
      <c r="F283" s="41">
        <f t="shared" si="4"/>
        <v>1</v>
      </c>
      <c r="J283" s="139"/>
    </row>
    <row r="284" spans="1:10" ht="27">
      <c r="A284" s="131" t="s">
        <v>844</v>
      </c>
      <c r="B284" s="129" t="s">
        <v>262</v>
      </c>
      <c r="C284" s="130" t="s">
        <v>2496</v>
      </c>
      <c r="D284" s="131" t="s">
        <v>844</v>
      </c>
      <c r="E284" s="130" t="s">
        <v>2497</v>
      </c>
      <c r="F284" s="41">
        <f t="shared" si="4"/>
        <v>1</v>
      </c>
      <c r="J284" s="139"/>
    </row>
    <row r="285" spans="1:10" ht="53.25">
      <c r="A285" s="134" t="s">
        <v>845</v>
      </c>
      <c r="B285" s="132" t="s">
        <v>263</v>
      </c>
      <c r="C285" s="133" t="s">
        <v>2494</v>
      </c>
      <c r="D285" s="134" t="s">
        <v>845</v>
      </c>
      <c r="E285" s="133" t="s">
        <v>2498</v>
      </c>
      <c r="F285" s="41">
        <f t="shared" si="4"/>
        <v>1</v>
      </c>
      <c r="J285" s="139"/>
    </row>
    <row r="286" spans="1:10">
      <c r="A286" s="131" t="s">
        <v>846</v>
      </c>
      <c r="B286" s="129" t="s">
        <v>294</v>
      </c>
      <c r="C286" s="130" t="s">
        <v>2499</v>
      </c>
      <c r="D286" s="131" t="s">
        <v>846</v>
      </c>
      <c r="E286" s="130" t="s">
        <v>2500</v>
      </c>
      <c r="F286" s="41">
        <f t="shared" si="4"/>
        <v>1</v>
      </c>
      <c r="J286" s="139"/>
    </row>
    <row r="287" spans="1:10" ht="27">
      <c r="A287" s="134" t="s">
        <v>847</v>
      </c>
      <c r="B287" s="132" t="s">
        <v>296</v>
      </c>
      <c r="C287" s="133" t="s">
        <v>2501</v>
      </c>
      <c r="D287" s="134" t="s">
        <v>847</v>
      </c>
      <c r="E287" s="133" t="s">
        <v>2502</v>
      </c>
      <c r="F287" s="41">
        <f t="shared" si="4"/>
        <v>1</v>
      </c>
      <c r="J287" s="139"/>
    </row>
    <row r="288" spans="1:10" ht="27">
      <c r="A288" s="134" t="s">
        <v>848</v>
      </c>
      <c r="B288" s="132" t="s">
        <v>298</v>
      </c>
      <c r="C288" s="133" t="s">
        <v>2503</v>
      </c>
      <c r="D288" s="134" t="s">
        <v>848</v>
      </c>
      <c r="E288" s="133" t="s">
        <v>2504</v>
      </c>
      <c r="F288" s="41">
        <f t="shared" si="4"/>
        <v>1</v>
      </c>
      <c r="J288" s="139"/>
    </row>
    <row r="289" spans="1:10" ht="27">
      <c r="A289" s="134" t="s">
        <v>850</v>
      </c>
      <c r="B289" s="132" t="s">
        <v>301</v>
      </c>
      <c r="C289" s="133" t="s">
        <v>2505</v>
      </c>
      <c r="D289" s="134" t="s">
        <v>850</v>
      </c>
      <c r="E289" s="133" t="s">
        <v>2506</v>
      </c>
      <c r="F289" s="41">
        <f t="shared" si="4"/>
        <v>1</v>
      </c>
      <c r="J289" s="139"/>
    </row>
    <row r="290" spans="1:10">
      <c r="A290" s="134" t="s">
        <v>853</v>
      </c>
      <c r="B290" s="132" t="s">
        <v>300</v>
      </c>
      <c r="C290" s="133" t="s">
        <v>2507</v>
      </c>
      <c r="D290" s="134" t="s">
        <v>853</v>
      </c>
      <c r="E290" s="133" t="s">
        <v>2508</v>
      </c>
      <c r="F290" s="41">
        <f t="shared" si="4"/>
        <v>1</v>
      </c>
      <c r="J290" s="139"/>
    </row>
    <row r="291" spans="1:10" ht="53.25">
      <c r="A291" s="134" t="s">
        <v>856</v>
      </c>
      <c r="B291" s="132" t="s">
        <v>855</v>
      </c>
      <c r="C291" s="133" t="s">
        <v>2509</v>
      </c>
      <c r="D291" s="134" t="s">
        <v>856</v>
      </c>
      <c r="E291" s="133" t="s">
        <v>2510</v>
      </c>
      <c r="F291" s="41">
        <f t="shared" si="4"/>
        <v>1</v>
      </c>
      <c r="J291" s="139"/>
    </row>
    <row r="292" spans="1:10" ht="27">
      <c r="A292" s="134" t="s">
        <v>859</v>
      </c>
      <c r="B292" s="132" t="s">
        <v>297</v>
      </c>
      <c r="C292" s="133" t="s">
        <v>2511</v>
      </c>
      <c r="D292" s="134" t="s">
        <v>859</v>
      </c>
      <c r="E292" s="133" t="s">
        <v>2512</v>
      </c>
      <c r="F292" s="41">
        <f t="shared" si="4"/>
        <v>1</v>
      </c>
      <c r="J292" s="139"/>
    </row>
    <row r="293" spans="1:10" ht="27">
      <c r="A293" s="134" t="s">
        <v>859</v>
      </c>
      <c r="B293" s="132" t="s">
        <v>299</v>
      </c>
      <c r="C293" s="133" t="s">
        <v>2511</v>
      </c>
      <c r="D293" s="134" t="s">
        <v>859</v>
      </c>
      <c r="E293" s="133" t="s">
        <v>2512</v>
      </c>
      <c r="F293" s="41">
        <f t="shared" si="4"/>
        <v>1</v>
      </c>
      <c r="J293" s="139"/>
    </row>
    <row r="294" spans="1:10" ht="24.75">
      <c r="A294" s="134" t="s">
        <v>863</v>
      </c>
      <c r="B294" s="132" t="s">
        <v>295</v>
      </c>
      <c r="C294" s="133" t="s">
        <v>2513</v>
      </c>
      <c r="D294" s="134" t="s">
        <v>863</v>
      </c>
      <c r="E294" s="133" t="s">
        <v>2514</v>
      </c>
      <c r="F294" s="41">
        <f t="shared" si="4"/>
        <v>1</v>
      </c>
      <c r="J294" s="139"/>
    </row>
    <row r="295" spans="1:10">
      <c r="A295" s="131" t="s">
        <v>865</v>
      </c>
      <c r="B295" s="129" t="s">
        <v>293</v>
      </c>
      <c r="C295" s="130" t="s">
        <v>2515</v>
      </c>
      <c r="D295" s="131" t="s">
        <v>865</v>
      </c>
      <c r="E295" s="130" t="s">
        <v>2516</v>
      </c>
      <c r="F295" s="41">
        <f t="shared" si="4"/>
        <v>1</v>
      </c>
      <c r="J295" s="139"/>
    </row>
    <row r="296" spans="1:10" ht="27">
      <c r="A296" s="131" t="s">
        <v>750</v>
      </c>
      <c r="B296" s="129" t="s">
        <v>2517</v>
      </c>
      <c r="C296" s="130" t="s">
        <v>750</v>
      </c>
      <c r="D296" s="131" t="s">
        <v>750</v>
      </c>
      <c r="E296" s="130" t="s">
        <v>750</v>
      </c>
      <c r="F296" s="41">
        <f t="shared" si="4"/>
        <v>1</v>
      </c>
      <c r="J296" s="139"/>
    </row>
    <row r="297" spans="1:10">
      <c r="A297" s="131" t="s">
        <v>869</v>
      </c>
      <c r="B297" s="129" t="s">
        <v>188</v>
      </c>
      <c r="C297" s="130" t="s">
        <v>2518</v>
      </c>
      <c r="D297" s="131" t="s">
        <v>869</v>
      </c>
      <c r="E297" s="130" t="s">
        <v>2519</v>
      </c>
      <c r="F297" s="41">
        <f t="shared" si="4"/>
        <v>1</v>
      </c>
      <c r="J297" s="139"/>
    </row>
    <row r="298" spans="1:10">
      <c r="A298" s="134" t="s">
        <v>872</v>
      </c>
      <c r="B298" s="132" t="s">
        <v>189</v>
      </c>
      <c r="C298" s="133" t="s">
        <v>2520</v>
      </c>
      <c r="D298" s="134" t="s">
        <v>872</v>
      </c>
      <c r="E298" s="133" t="s">
        <v>2521</v>
      </c>
      <c r="F298" s="41">
        <f t="shared" si="4"/>
        <v>1</v>
      </c>
      <c r="J298" s="139"/>
    </row>
    <row r="299" spans="1:10">
      <c r="A299" s="134" t="s">
        <v>874</v>
      </c>
      <c r="B299" s="132" t="s">
        <v>190</v>
      </c>
      <c r="C299" s="133" t="s">
        <v>2522</v>
      </c>
      <c r="D299" s="134" t="s">
        <v>874</v>
      </c>
      <c r="E299" s="133" t="s">
        <v>2523</v>
      </c>
      <c r="F299" s="41">
        <f t="shared" si="4"/>
        <v>1</v>
      </c>
      <c r="J299" s="139"/>
    </row>
    <row r="300" spans="1:10" ht="24.75">
      <c r="A300" s="134" t="s">
        <v>877</v>
      </c>
      <c r="B300" s="132" t="s">
        <v>192</v>
      </c>
      <c r="C300" s="133" t="s">
        <v>2524</v>
      </c>
      <c r="D300" s="134" t="s">
        <v>877</v>
      </c>
      <c r="E300" s="133" t="s">
        <v>2525</v>
      </c>
      <c r="F300" s="41">
        <f t="shared" si="4"/>
        <v>1</v>
      </c>
      <c r="J300" s="139"/>
    </row>
    <row r="301" spans="1:10">
      <c r="A301" s="134" t="s">
        <v>880</v>
      </c>
      <c r="B301" s="132" t="s">
        <v>194</v>
      </c>
      <c r="C301" s="133" t="s">
        <v>2526</v>
      </c>
      <c r="D301" s="134" t="s">
        <v>880</v>
      </c>
      <c r="E301" s="133" t="s">
        <v>2527</v>
      </c>
      <c r="F301" s="41">
        <f t="shared" si="4"/>
        <v>1</v>
      </c>
      <c r="J301" s="139"/>
    </row>
    <row r="302" spans="1:10">
      <c r="A302" s="134" t="s">
        <v>738</v>
      </c>
      <c r="B302" s="132" t="s">
        <v>115</v>
      </c>
      <c r="C302" s="133" t="s">
        <v>1171</v>
      </c>
      <c r="D302" s="134" t="s">
        <v>738</v>
      </c>
      <c r="E302" s="133" t="s">
        <v>1172</v>
      </c>
      <c r="F302" s="41">
        <f t="shared" si="4"/>
        <v>2</v>
      </c>
      <c r="J302" s="139"/>
    </row>
    <row r="303" spans="1:10">
      <c r="A303" s="131" t="s">
        <v>883</v>
      </c>
      <c r="B303" s="129" t="s">
        <v>285</v>
      </c>
      <c r="C303" s="130" t="s">
        <v>2528</v>
      </c>
      <c r="D303" s="131" t="s">
        <v>883</v>
      </c>
      <c r="E303" s="130" t="s">
        <v>2457</v>
      </c>
      <c r="F303" s="41">
        <f t="shared" si="4"/>
        <v>1</v>
      </c>
      <c r="J303" s="139"/>
    </row>
    <row r="304" spans="1:10">
      <c r="A304" s="131" t="s">
        <v>886</v>
      </c>
      <c r="B304" s="129" t="s">
        <v>885</v>
      </c>
      <c r="C304" s="130" t="s">
        <v>2529</v>
      </c>
      <c r="D304" s="131" t="s">
        <v>886</v>
      </c>
      <c r="E304" s="130" t="s">
        <v>2530</v>
      </c>
      <c r="F304" s="41">
        <f t="shared" si="4"/>
        <v>1</v>
      </c>
      <c r="J304" s="139"/>
    </row>
    <row r="305" spans="1:10">
      <c r="A305" s="134" t="s">
        <v>889</v>
      </c>
      <c r="B305" s="132" t="s">
        <v>218</v>
      </c>
      <c r="C305" s="133" t="s">
        <v>2531</v>
      </c>
      <c r="D305" s="134" t="s">
        <v>889</v>
      </c>
      <c r="E305" s="133" t="s">
        <v>2532</v>
      </c>
      <c r="F305" s="41">
        <f t="shared" si="4"/>
        <v>1</v>
      </c>
      <c r="J305" s="139"/>
    </row>
    <row r="306" spans="1:10">
      <c r="A306" s="134" t="s">
        <v>891</v>
      </c>
      <c r="B306" s="132" t="s">
        <v>212</v>
      </c>
      <c r="C306" s="133" t="s">
        <v>2533</v>
      </c>
      <c r="D306" s="134" t="s">
        <v>891</v>
      </c>
      <c r="E306" s="133" t="s">
        <v>2534</v>
      </c>
      <c r="F306" s="41">
        <f t="shared" si="4"/>
        <v>1</v>
      </c>
      <c r="J306" s="139"/>
    </row>
    <row r="307" spans="1:10" ht="27">
      <c r="A307" s="134" t="s">
        <v>893</v>
      </c>
      <c r="B307" s="132" t="s">
        <v>215</v>
      </c>
      <c r="C307" s="133" t="s">
        <v>2535</v>
      </c>
      <c r="D307" s="134" t="s">
        <v>893</v>
      </c>
      <c r="E307" s="133" t="s">
        <v>2536</v>
      </c>
      <c r="F307" s="41">
        <f t="shared" si="4"/>
        <v>1</v>
      </c>
      <c r="J307" s="139"/>
    </row>
    <row r="308" spans="1:10">
      <c r="A308" s="134" t="s">
        <v>894</v>
      </c>
      <c r="B308" s="132" t="s">
        <v>203</v>
      </c>
      <c r="C308" s="133" t="s">
        <v>2537</v>
      </c>
      <c r="D308" s="134" t="s">
        <v>894</v>
      </c>
      <c r="E308" s="133" t="s">
        <v>2538</v>
      </c>
      <c r="F308" s="41">
        <f t="shared" si="4"/>
        <v>1</v>
      </c>
      <c r="J308" s="139"/>
    </row>
    <row r="309" spans="1:10" ht="24.75">
      <c r="A309" s="134" t="s">
        <v>896</v>
      </c>
      <c r="B309" s="132" t="s">
        <v>206</v>
      </c>
      <c r="C309" s="133" t="s">
        <v>2539</v>
      </c>
      <c r="D309" s="134" t="s">
        <v>896</v>
      </c>
      <c r="E309" s="133" t="s">
        <v>2540</v>
      </c>
      <c r="F309" s="41">
        <f t="shared" si="4"/>
        <v>1</v>
      </c>
      <c r="J309" s="139"/>
    </row>
    <row r="310" spans="1:10">
      <c r="A310" s="134" t="s">
        <v>897</v>
      </c>
      <c r="B310" s="132" t="s">
        <v>209</v>
      </c>
      <c r="C310" s="133" t="s">
        <v>2541</v>
      </c>
      <c r="D310" s="134" t="s">
        <v>897</v>
      </c>
      <c r="E310" s="133" t="s">
        <v>2542</v>
      </c>
      <c r="F310" s="41">
        <f t="shared" si="4"/>
        <v>1</v>
      </c>
      <c r="J310" s="139"/>
    </row>
    <row r="311" spans="1:10">
      <c r="A311" s="131" t="s">
        <v>901</v>
      </c>
      <c r="B311" s="129" t="s">
        <v>900</v>
      </c>
      <c r="C311" s="130" t="s">
        <v>2543</v>
      </c>
      <c r="D311" s="131" t="s">
        <v>901</v>
      </c>
      <c r="E311" s="130" t="s">
        <v>2544</v>
      </c>
      <c r="F311" s="41">
        <f t="shared" si="4"/>
        <v>1</v>
      </c>
      <c r="J311" s="139"/>
    </row>
    <row r="312" spans="1:10">
      <c r="A312" s="134" t="s">
        <v>738</v>
      </c>
      <c r="B312" s="132" t="s">
        <v>197</v>
      </c>
      <c r="C312" s="133" t="s">
        <v>1171</v>
      </c>
      <c r="D312" s="134" t="s">
        <v>738</v>
      </c>
      <c r="E312" s="133" t="s">
        <v>1172</v>
      </c>
      <c r="F312" s="41">
        <f t="shared" si="4"/>
        <v>1</v>
      </c>
      <c r="J312" s="139"/>
    </row>
    <row r="313" spans="1:10">
      <c r="A313" s="134" t="s">
        <v>902</v>
      </c>
      <c r="B313" s="132" t="s">
        <v>196</v>
      </c>
      <c r="C313" s="133" t="s">
        <v>2545</v>
      </c>
      <c r="D313" s="134" t="s">
        <v>902</v>
      </c>
      <c r="E313" s="133" t="s">
        <v>2546</v>
      </c>
      <c r="F313" s="41">
        <f t="shared" si="4"/>
        <v>1</v>
      </c>
      <c r="J313" s="139"/>
    </row>
    <row r="314" spans="1:10">
      <c r="A314" s="134" t="s">
        <v>904</v>
      </c>
      <c r="B314" s="132" t="s">
        <v>200</v>
      </c>
      <c r="C314" s="133" t="s">
        <v>2547</v>
      </c>
      <c r="D314" s="134" t="s">
        <v>904</v>
      </c>
      <c r="E314" s="133" t="s">
        <v>2548</v>
      </c>
      <c r="F314" s="41">
        <f t="shared" si="4"/>
        <v>1</v>
      </c>
      <c r="J314" s="139"/>
    </row>
    <row r="315" spans="1:10">
      <c r="A315" s="131" t="s">
        <v>906</v>
      </c>
      <c r="B315" s="129" t="s">
        <v>279</v>
      </c>
      <c r="C315" s="130" t="s">
        <v>2549</v>
      </c>
      <c r="D315" s="131" t="s">
        <v>906</v>
      </c>
      <c r="E315" s="130" t="s">
        <v>2550</v>
      </c>
      <c r="F315" s="41">
        <f t="shared" si="4"/>
        <v>1</v>
      </c>
      <c r="J315" s="139"/>
    </row>
    <row r="316" spans="1:10">
      <c r="A316" s="131" t="s">
        <v>796</v>
      </c>
      <c r="B316" s="129" t="s">
        <v>908</v>
      </c>
      <c r="C316" s="130" t="s">
        <v>2462</v>
      </c>
      <c r="D316" s="131" t="s">
        <v>796</v>
      </c>
      <c r="E316" s="130" t="s">
        <v>2463</v>
      </c>
      <c r="F316" s="41">
        <f t="shared" si="4"/>
        <v>1</v>
      </c>
      <c r="J316" s="139"/>
    </row>
    <row r="317" spans="1:10" ht="27">
      <c r="A317" s="134" t="s">
        <v>911</v>
      </c>
      <c r="B317" s="132" t="s">
        <v>525</v>
      </c>
      <c r="C317" s="133" t="s">
        <v>2551</v>
      </c>
      <c r="D317" s="134" t="s">
        <v>911</v>
      </c>
      <c r="E317" s="133" t="s">
        <v>2552</v>
      </c>
      <c r="F317" s="41">
        <f t="shared" si="4"/>
        <v>1</v>
      </c>
      <c r="J317" s="139"/>
    </row>
    <row r="318" spans="1:10" ht="27">
      <c r="A318" s="134" t="s">
        <v>913</v>
      </c>
      <c r="B318" s="132" t="s">
        <v>548</v>
      </c>
      <c r="C318" s="133" t="s">
        <v>2553</v>
      </c>
      <c r="D318" s="134" t="s">
        <v>913</v>
      </c>
      <c r="E318" s="133" t="s">
        <v>2554</v>
      </c>
      <c r="F318" s="41">
        <f t="shared" si="4"/>
        <v>1</v>
      </c>
      <c r="J318" s="139"/>
    </row>
    <row r="319" spans="1:10">
      <c r="A319" s="134" t="s">
        <v>817</v>
      </c>
      <c r="B319" s="132" t="s">
        <v>432</v>
      </c>
      <c r="C319" s="133" t="s">
        <v>2363</v>
      </c>
      <c r="D319" s="134" t="s">
        <v>817</v>
      </c>
      <c r="E319" s="133" t="s">
        <v>2364</v>
      </c>
      <c r="F319" s="41">
        <f t="shared" si="4"/>
        <v>4</v>
      </c>
      <c r="J319" s="139"/>
    </row>
    <row r="320" spans="1:10">
      <c r="A320" s="134" t="s">
        <v>914</v>
      </c>
      <c r="B320" s="132" t="s">
        <v>489</v>
      </c>
      <c r="C320" s="133" t="s">
        <v>489</v>
      </c>
      <c r="D320" s="134" t="s">
        <v>914</v>
      </c>
      <c r="E320" s="133" t="s">
        <v>2555</v>
      </c>
      <c r="F320" s="41">
        <f t="shared" si="4"/>
        <v>2</v>
      </c>
      <c r="J320" s="139"/>
    </row>
    <row r="321" spans="1:10">
      <c r="A321" s="134" t="s">
        <v>918</v>
      </c>
      <c r="B321" s="132" t="s">
        <v>486</v>
      </c>
      <c r="C321" s="133" t="s">
        <v>2556</v>
      </c>
      <c r="D321" s="134" t="s">
        <v>918</v>
      </c>
      <c r="E321" s="133" t="s">
        <v>2557</v>
      </c>
      <c r="F321" s="41">
        <f t="shared" si="4"/>
        <v>1</v>
      </c>
      <c r="J321" s="139"/>
    </row>
    <row r="322" spans="1:10">
      <c r="A322" s="134" t="s">
        <v>919</v>
      </c>
      <c r="B322" s="132" t="s">
        <v>523</v>
      </c>
      <c r="C322" s="133" t="s">
        <v>2558</v>
      </c>
      <c r="D322" s="134" t="s">
        <v>919</v>
      </c>
      <c r="E322" s="133" t="s">
        <v>2559</v>
      </c>
      <c r="F322" s="41">
        <f t="shared" si="4"/>
        <v>1</v>
      </c>
      <c r="J322" s="139"/>
    </row>
    <row r="323" spans="1:10">
      <c r="A323" s="134" t="s">
        <v>921</v>
      </c>
      <c r="B323" s="132" t="s">
        <v>445</v>
      </c>
      <c r="C323" s="133" t="s">
        <v>2022</v>
      </c>
      <c r="D323" s="134" t="s">
        <v>921</v>
      </c>
      <c r="E323" s="133" t="s">
        <v>2023</v>
      </c>
      <c r="F323" s="41">
        <f t="shared" ref="F323:F386" si="5">COUNTIF(B:B,B323)</f>
        <v>1</v>
      </c>
      <c r="J323" s="139"/>
    </row>
    <row r="324" spans="1:10">
      <c r="A324" s="134" t="s">
        <v>923</v>
      </c>
      <c r="B324" s="132" t="s">
        <v>546</v>
      </c>
      <c r="C324" s="133" t="s">
        <v>2560</v>
      </c>
      <c r="D324" s="134" t="s">
        <v>923</v>
      </c>
      <c r="E324" s="133" t="s">
        <v>2561</v>
      </c>
      <c r="F324" s="41">
        <f t="shared" si="5"/>
        <v>1</v>
      </c>
      <c r="J324" s="139"/>
    </row>
    <row r="325" spans="1:10">
      <c r="A325" s="134" t="s">
        <v>924</v>
      </c>
      <c r="B325" s="132" t="s">
        <v>582</v>
      </c>
      <c r="C325" s="133" t="s">
        <v>2562</v>
      </c>
      <c r="D325" s="134" t="s">
        <v>924</v>
      </c>
      <c r="E325" s="133" t="s">
        <v>2563</v>
      </c>
      <c r="F325" s="41">
        <f t="shared" si="5"/>
        <v>1</v>
      </c>
      <c r="J325" s="139"/>
    </row>
    <row r="326" spans="1:10">
      <c r="A326" s="134" t="s">
        <v>927</v>
      </c>
      <c r="B326" s="132" t="s">
        <v>566</v>
      </c>
      <c r="C326" s="133" t="s">
        <v>2564</v>
      </c>
      <c r="D326" s="134" t="s">
        <v>927</v>
      </c>
      <c r="E326" s="133" t="s">
        <v>2565</v>
      </c>
      <c r="F326" s="41">
        <f t="shared" si="5"/>
        <v>1</v>
      </c>
      <c r="J326" s="139"/>
    </row>
    <row r="327" spans="1:10">
      <c r="A327" s="134" t="s">
        <v>929</v>
      </c>
      <c r="B327" s="132" t="s">
        <v>167</v>
      </c>
      <c r="C327" s="133" t="s">
        <v>2566</v>
      </c>
      <c r="D327" s="134" t="s">
        <v>929</v>
      </c>
      <c r="E327" s="133" t="s">
        <v>2567</v>
      </c>
      <c r="F327" s="41">
        <f t="shared" si="5"/>
        <v>2</v>
      </c>
      <c r="J327" s="139"/>
    </row>
    <row r="328" spans="1:10">
      <c r="A328" s="134" t="s">
        <v>930</v>
      </c>
      <c r="B328" s="132" t="s">
        <v>508</v>
      </c>
      <c r="C328" s="133" t="s">
        <v>2568</v>
      </c>
      <c r="D328" s="134" t="s">
        <v>930</v>
      </c>
      <c r="E328" s="133" t="s">
        <v>2569</v>
      </c>
      <c r="F328" s="41">
        <f t="shared" si="5"/>
        <v>1</v>
      </c>
      <c r="J328" s="139"/>
    </row>
    <row r="329" spans="1:10">
      <c r="A329" s="134" t="s">
        <v>931</v>
      </c>
      <c r="B329" s="132" t="s">
        <v>432</v>
      </c>
      <c r="C329" s="133" t="s">
        <v>2570</v>
      </c>
      <c r="D329" s="134" t="s">
        <v>931</v>
      </c>
      <c r="E329" s="133" t="s">
        <v>2571</v>
      </c>
      <c r="F329" s="41">
        <f t="shared" si="5"/>
        <v>4</v>
      </c>
      <c r="J329" s="139"/>
    </row>
    <row r="330" spans="1:10">
      <c r="A330" s="134" t="s">
        <v>934</v>
      </c>
      <c r="B330" s="132" t="s">
        <v>495</v>
      </c>
      <c r="C330" s="133" t="s">
        <v>2572</v>
      </c>
      <c r="D330" s="134" t="s">
        <v>934</v>
      </c>
      <c r="E330" s="133" t="s">
        <v>2573</v>
      </c>
      <c r="F330" s="41">
        <f t="shared" si="5"/>
        <v>1</v>
      </c>
      <c r="J330" s="139"/>
    </row>
    <row r="331" spans="1:10">
      <c r="A331" s="134" t="s">
        <v>937</v>
      </c>
      <c r="B331" s="132" t="s">
        <v>453</v>
      </c>
      <c r="C331" s="133" t="s">
        <v>2574</v>
      </c>
      <c r="D331" s="134" t="s">
        <v>937</v>
      </c>
      <c r="E331" s="133" t="s">
        <v>2575</v>
      </c>
      <c r="F331" s="41">
        <f t="shared" si="5"/>
        <v>1</v>
      </c>
      <c r="J331" s="139"/>
    </row>
    <row r="332" spans="1:10">
      <c r="A332" s="134" t="s">
        <v>938</v>
      </c>
      <c r="B332" s="132" t="s">
        <v>2576</v>
      </c>
      <c r="C332" s="133" t="s">
        <v>2577</v>
      </c>
      <c r="D332" s="134" t="s">
        <v>938</v>
      </c>
      <c r="E332" s="133" t="s">
        <v>2578</v>
      </c>
      <c r="F332" s="41">
        <f t="shared" si="5"/>
        <v>1</v>
      </c>
      <c r="J332" s="139"/>
    </row>
    <row r="333" spans="1:10" ht="27">
      <c r="A333" s="134" t="s">
        <v>847</v>
      </c>
      <c r="B333" s="132" t="s">
        <v>2579</v>
      </c>
      <c r="C333" s="133" t="s">
        <v>2501</v>
      </c>
      <c r="D333" s="134" t="s">
        <v>847</v>
      </c>
      <c r="E333" s="133" t="s">
        <v>2502</v>
      </c>
      <c r="F333" s="41">
        <f t="shared" si="5"/>
        <v>1</v>
      </c>
      <c r="J333" s="139"/>
    </row>
    <row r="334" spans="1:10">
      <c r="A334" s="134" t="s">
        <v>940</v>
      </c>
      <c r="B334" s="132" t="s">
        <v>2580</v>
      </c>
      <c r="C334" s="133" t="s">
        <v>2581</v>
      </c>
      <c r="D334" s="134" t="s">
        <v>940</v>
      </c>
      <c r="E334" s="133" t="s">
        <v>2582</v>
      </c>
      <c r="F334" s="41">
        <f t="shared" si="5"/>
        <v>1</v>
      </c>
      <c r="J334" s="139"/>
    </row>
    <row r="335" spans="1:10" ht="27">
      <c r="A335" s="134" t="s">
        <v>943</v>
      </c>
      <c r="B335" s="132" t="s">
        <v>2583</v>
      </c>
      <c r="C335" s="133" t="s">
        <v>2584</v>
      </c>
      <c r="D335" s="134" t="s">
        <v>943</v>
      </c>
      <c r="E335" s="133" t="s">
        <v>2585</v>
      </c>
      <c r="F335" s="41">
        <f t="shared" si="5"/>
        <v>1</v>
      </c>
      <c r="J335" s="139"/>
    </row>
    <row r="336" spans="1:10">
      <c r="A336" s="134" t="s">
        <v>944</v>
      </c>
      <c r="B336" s="132" t="s">
        <v>451</v>
      </c>
      <c r="C336" s="133" t="s">
        <v>2586</v>
      </c>
      <c r="D336" s="134" t="s">
        <v>944</v>
      </c>
      <c r="E336" s="133" t="s">
        <v>2587</v>
      </c>
      <c r="F336" s="41">
        <f t="shared" si="5"/>
        <v>1</v>
      </c>
      <c r="J336" s="139"/>
    </row>
    <row r="337" spans="1:10" ht="24.75">
      <c r="A337" s="134" t="s">
        <v>945</v>
      </c>
      <c r="B337" s="132" t="s">
        <v>493</v>
      </c>
      <c r="C337" s="133" t="s">
        <v>2588</v>
      </c>
      <c r="D337" s="134" t="s">
        <v>945</v>
      </c>
      <c r="E337" s="133" t="s">
        <v>2589</v>
      </c>
      <c r="F337" s="41">
        <f t="shared" si="5"/>
        <v>1</v>
      </c>
      <c r="J337" s="139"/>
    </row>
    <row r="338" spans="1:10" ht="24.75">
      <c r="A338" s="134" t="s">
        <v>949</v>
      </c>
      <c r="B338" s="132" t="s">
        <v>583</v>
      </c>
      <c r="C338" s="133" t="s">
        <v>2590</v>
      </c>
      <c r="D338" s="134" t="s">
        <v>949</v>
      </c>
      <c r="E338" s="133" t="s">
        <v>2591</v>
      </c>
      <c r="F338" s="41">
        <f t="shared" si="5"/>
        <v>1</v>
      </c>
      <c r="J338" s="139"/>
    </row>
    <row r="339" spans="1:10" ht="24.75">
      <c r="A339" s="134" t="s">
        <v>951</v>
      </c>
      <c r="B339" s="132" t="s">
        <v>567</v>
      </c>
      <c r="C339" s="133" t="s">
        <v>2592</v>
      </c>
      <c r="D339" s="134" t="s">
        <v>951</v>
      </c>
      <c r="E339" s="133" t="s">
        <v>2593</v>
      </c>
      <c r="F339" s="41">
        <f t="shared" si="5"/>
        <v>1</v>
      </c>
      <c r="J339" s="139"/>
    </row>
    <row r="340" spans="1:10">
      <c r="A340" s="134" t="s">
        <v>952</v>
      </c>
      <c r="B340" s="132" t="s">
        <v>547</v>
      </c>
      <c r="C340" s="133" t="s">
        <v>2594</v>
      </c>
      <c r="D340" s="134" t="s">
        <v>952</v>
      </c>
      <c r="E340" s="133" t="s">
        <v>2595</v>
      </c>
      <c r="F340" s="41">
        <f t="shared" si="5"/>
        <v>1</v>
      </c>
      <c r="J340" s="139"/>
    </row>
    <row r="341" spans="1:10" ht="24.75">
      <c r="A341" s="134" t="s">
        <v>954</v>
      </c>
      <c r="B341" s="132" t="s">
        <v>590</v>
      </c>
      <c r="C341" s="133" t="s">
        <v>2596</v>
      </c>
      <c r="D341" s="134" t="s">
        <v>954</v>
      </c>
      <c r="E341" s="133" t="s">
        <v>2597</v>
      </c>
      <c r="F341" s="41">
        <f t="shared" si="5"/>
        <v>1</v>
      </c>
      <c r="J341" s="139"/>
    </row>
    <row r="342" spans="1:10">
      <c r="A342" s="134" t="s">
        <v>956</v>
      </c>
      <c r="B342" s="132" t="s">
        <v>596</v>
      </c>
      <c r="C342" s="133" t="s">
        <v>2598</v>
      </c>
      <c r="D342" s="134" t="s">
        <v>956</v>
      </c>
      <c r="E342" s="133" t="s">
        <v>2599</v>
      </c>
      <c r="F342" s="41">
        <f t="shared" si="5"/>
        <v>1</v>
      </c>
      <c r="J342" s="139"/>
    </row>
    <row r="343" spans="1:10">
      <c r="A343" s="134" t="s">
        <v>958</v>
      </c>
      <c r="B343" s="132" t="s">
        <v>599</v>
      </c>
      <c r="C343" s="133" t="s">
        <v>2600</v>
      </c>
      <c r="D343" s="134" t="s">
        <v>958</v>
      </c>
      <c r="E343" s="133" t="s">
        <v>2601</v>
      </c>
      <c r="F343" s="41">
        <f t="shared" si="5"/>
        <v>1</v>
      </c>
      <c r="J343" s="139"/>
    </row>
    <row r="344" spans="1:10" ht="27">
      <c r="A344" s="134" t="s">
        <v>959</v>
      </c>
      <c r="B344" s="132" t="s">
        <v>524</v>
      </c>
      <c r="C344" s="133" t="s">
        <v>2602</v>
      </c>
      <c r="D344" s="134" t="s">
        <v>959</v>
      </c>
      <c r="E344" s="133" t="s">
        <v>2603</v>
      </c>
      <c r="F344" s="41">
        <f t="shared" si="5"/>
        <v>1</v>
      </c>
      <c r="J344" s="139"/>
    </row>
    <row r="345" spans="1:10">
      <c r="A345" s="134" t="s">
        <v>961</v>
      </c>
      <c r="B345" s="132" t="s">
        <v>488</v>
      </c>
      <c r="C345" s="133" t="s">
        <v>2604</v>
      </c>
      <c r="D345" s="134" t="s">
        <v>961</v>
      </c>
      <c r="E345" s="133" t="s">
        <v>2605</v>
      </c>
      <c r="F345" s="41">
        <f t="shared" si="5"/>
        <v>1</v>
      </c>
      <c r="J345" s="139"/>
    </row>
    <row r="346" spans="1:10">
      <c r="A346" s="134" t="s">
        <v>963</v>
      </c>
      <c r="B346" s="132" t="s">
        <v>447</v>
      </c>
      <c r="C346" s="133" t="s">
        <v>2606</v>
      </c>
      <c r="D346" s="134" t="s">
        <v>963</v>
      </c>
      <c r="E346" s="133" t="s">
        <v>2607</v>
      </c>
      <c r="F346" s="41">
        <f t="shared" si="5"/>
        <v>1</v>
      </c>
      <c r="J346" s="139"/>
    </row>
    <row r="347" spans="1:10">
      <c r="A347" s="134" t="s">
        <v>967</v>
      </c>
      <c r="B347" s="132" t="s">
        <v>568</v>
      </c>
      <c r="C347" s="133" t="s">
        <v>2608</v>
      </c>
      <c r="D347" s="134" t="s">
        <v>967</v>
      </c>
      <c r="E347" s="133" t="s">
        <v>2609</v>
      </c>
      <c r="F347" s="41">
        <f t="shared" si="5"/>
        <v>1</v>
      </c>
      <c r="J347" s="139"/>
    </row>
    <row r="348" spans="1:10">
      <c r="A348" s="134" t="s">
        <v>968</v>
      </c>
      <c r="B348" s="132" t="s">
        <v>526</v>
      </c>
      <c r="C348" s="133" t="s">
        <v>2610</v>
      </c>
      <c r="D348" s="134" t="s">
        <v>968</v>
      </c>
      <c r="E348" s="133" t="s">
        <v>2611</v>
      </c>
      <c r="F348" s="41">
        <f t="shared" si="5"/>
        <v>1</v>
      </c>
      <c r="J348" s="139"/>
    </row>
    <row r="349" spans="1:10">
      <c r="A349" s="134" t="s">
        <v>970</v>
      </c>
      <c r="B349" s="132" t="s">
        <v>449</v>
      </c>
      <c r="C349" s="133" t="s">
        <v>449</v>
      </c>
      <c r="D349" s="134" t="s">
        <v>970</v>
      </c>
      <c r="E349" s="133" t="s">
        <v>2612</v>
      </c>
      <c r="F349" s="41">
        <f t="shared" si="5"/>
        <v>1</v>
      </c>
      <c r="J349" s="139"/>
    </row>
    <row r="350" spans="1:10">
      <c r="A350" s="134" t="s">
        <v>971</v>
      </c>
      <c r="B350" s="132" t="s">
        <v>549</v>
      </c>
      <c r="C350" s="133" t="s">
        <v>2613</v>
      </c>
      <c r="D350" s="134" t="s">
        <v>971</v>
      </c>
      <c r="E350" s="133" t="s">
        <v>2614</v>
      </c>
      <c r="F350" s="41">
        <f t="shared" si="5"/>
        <v>1</v>
      </c>
      <c r="J350" s="139"/>
    </row>
    <row r="351" spans="1:10">
      <c r="A351" s="134" t="s">
        <v>973</v>
      </c>
      <c r="B351" s="132" t="s">
        <v>491</v>
      </c>
      <c r="C351" s="133" t="s">
        <v>2615</v>
      </c>
      <c r="D351" s="134" t="s">
        <v>973</v>
      </c>
      <c r="E351" s="133" t="s">
        <v>2616</v>
      </c>
      <c r="F351" s="41">
        <f t="shared" si="5"/>
        <v>1</v>
      </c>
      <c r="J351" s="139"/>
    </row>
    <row r="352" spans="1:10">
      <c r="A352" s="134" t="s">
        <v>976</v>
      </c>
      <c r="B352" s="132" t="s">
        <v>485</v>
      </c>
      <c r="C352" s="133" t="s">
        <v>2617</v>
      </c>
      <c r="D352" s="134" t="s">
        <v>976</v>
      </c>
      <c r="E352" s="133" t="s">
        <v>2618</v>
      </c>
      <c r="F352" s="41">
        <f t="shared" si="5"/>
        <v>1</v>
      </c>
      <c r="J352" s="139"/>
    </row>
    <row r="353" spans="1:10">
      <c r="A353" s="134" t="s">
        <v>978</v>
      </c>
      <c r="B353" s="132" t="s">
        <v>444</v>
      </c>
      <c r="C353" s="133" t="s">
        <v>2619</v>
      </c>
      <c r="D353" s="134" t="s">
        <v>978</v>
      </c>
      <c r="E353" s="133" t="s">
        <v>2620</v>
      </c>
      <c r="F353" s="41">
        <f t="shared" si="5"/>
        <v>1</v>
      </c>
      <c r="J353" s="139"/>
    </row>
    <row r="354" spans="1:10">
      <c r="A354" s="134" t="s">
        <v>980</v>
      </c>
      <c r="B354" s="132" t="s">
        <v>522</v>
      </c>
      <c r="C354" s="133" t="s">
        <v>2621</v>
      </c>
      <c r="D354" s="134" t="s">
        <v>980</v>
      </c>
      <c r="E354" s="133" t="s">
        <v>2622</v>
      </c>
      <c r="F354" s="41">
        <f t="shared" si="5"/>
        <v>1</v>
      </c>
      <c r="J354" s="139"/>
    </row>
    <row r="355" spans="1:10">
      <c r="A355" s="134" t="s">
        <v>982</v>
      </c>
      <c r="B355" s="132" t="s">
        <v>545</v>
      </c>
      <c r="C355" s="133" t="s">
        <v>2623</v>
      </c>
      <c r="D355" s="134" t="s">
        <v>982</v>
      </c>
      <c r="E355" s="133" t="s">
        <v>2624</v>
      </c>
      <c r="F355" s="41">
        <f t="shared" si="5"/>
        <v>1</v>
      </c>
      <c r="J355" s="139"/>
    </row>
    <row r="356" spans="1:10">
      <c r="A356" s="134" t="s">
        <v>984</v>
      </c>
      <c r="B356" s="132" t="s">
        <v>581</v>
      </c>
      <c r="C356" s="133" t="s">
        <v>2625</v>
      </c>
      <c r="D356" s="134" t="s">
        <v>984</v>
      </c>
      <c r="E356" s="133" t="s">
        <v>2626</v>
      </c>
      <c r="F356" s="41">
        <f t="shared" si="5"/>
        <v>1</v>
      </c>
      <c r="J356" s="139"/>
    </row>
    <row r="357" spans="1:10" ht="27">
      <c r="A357" s="134" t="s">
        <v>986</v>
      </c>
      <c r="B357" s="132" t="s">
        <v>565</v>
      </c>
      <c r="C357" s="133" t="s">
        <v>2627</v>
      </c>
      <c r="D357" s="134" t="s">
        <v>986</v>
      </c>
      <c r="E357" s="133" t="s">
        <v>2628</v>
      </c>
      <c r="F357" s="41">
        <f t="shared" si="5"/>
        <v>1</v>
      </c>
      <c r="J357" s="139"/>
    </row>
    <row r="358" spans="1:10">
      <c r="A358" s="134" t="s">
        <v>989</v>
      </c>
      <c r="B358" s="132" t="s">
        <v>448</v>
      </c>
      <c r="C358" s="133" t="s">
        <v>448</v>
      </c>
      <c r="D358" s="134" t="s">
        <v>989</v>
      </c>
      <c r="E358" s="133" t="s">
        <v>2629</v>
      </c>
      <c r="F358" s="41">
        <f t="shared" si="5"/>
        <v>1</v>
      </c>
      <c r="J358" s="139"/>
    </row>
    <row r="359" spans="1:10">
      <c r="A359" s="134" t="s">
        <v>991</v>
      </c>
      <c r="B359" s="132" t="s">
        <v>490</v>
      </c>
      <c r="C359" s="133" t="s">
        <v>490</v>
      </c>
      <c r="D359" s="134" t="s">
        <v>991</v>
      </c>
      <c r="E359" s="133" t="s">
        <v>2630</v>
      </c>
      <c r="F359" s="41">
        <f t="shared" si="5"/>
        <v>1</v>
      </c>
      <c r="J359" s="139"/>
    </row>
    <row r="360" spans="1:10">
      <c r="A360" s="134" t="s">
        <v>993</v>
      </c>
      <c r="B360" s="132" t="s">
        <v>446</v>
      </c>
      <c r="C360" s="133" t="s">
        <v>2631</v>
      </c>
      <c r="D360" s="134" t="s">
        <v>993</v>
      </c>
      <c r="E360" s="133" t="s">
        <v>2632</v>
      </c>
      <c r="F360" s="41">
        <f t="shared" si="5"/>
        <v>1</v>
      </c>
      <c r="J360" s="139"/>
    </row>
    <row r="361" spans="1:10">
      <c r="A361" s="134" t="s">
        <v>995</v>
      </c>
      <c r="B361" s="132" t="s">
        <v>487</v>
      </c>
      <c r="C361" s="133" t="s">
        <v>2633</v>
      </c>
      <c r="D361" s="134" t="s">
        <v>995</v>
      </c>
      <c r="E361" s="133" t="s">
        <v>2634</v>
      </c>
      <c r="F361" s="41">
        <f t="shared" si="5"/>
        <v>1</v>
      </c>
      <c r="J361" s="139"/>
    </row>
    <row r="362" spans="1:10">
      <c r="A362" s="134" t="s">
        <v>999</v>
      </c>
      <c r="B362" s="132" t="s">
        <v>452</v>
      </c>
      <c r="C362" s="133" t="s">
        <v>2635</v>
      </c>
      <c r="D362" s="134" t="s">
        <v>999</v>
      </c>
      <c r="E362" s="133" t="s">
        <v>2636</v>
      </c>
      <c r="F362" s="41">
        <f t="shared" si="5"/>
        <v>1</v>
      </c>
      <c r="J362" s="139"/>
    </row>
    <row r="363" spans="1:10">
      <c r="A363" s="134" t="s">
        <v>1001</v>
      </c>
      <c r="B363" s="132" t="s">
        <v>494</v>
      </c>
      <c r="C363" s="133" t="s">
        <v>2637</v>
      </c>
      <c r="D363" s="134" t="s">
        <v>1001</v>
      </c>
      <c r="E363" s="133" t="s">
        <v>2638</v>
      </c>
      <c r="F363" s="41">
        <f t="shared" si="5"/>
        <v>1</v>
      </c>
      <c r="J363" s="139"/>
    </row>
    <row r="364" spans="1:10">
      <c r="A364" s="134" t="s">
        <v>1003</v>
      </c>
      <c r="B364" s="132" t="s">
        <v>528</v>
      </c>
      <c r="C364" s="133" t="s">
        <v>2639</v>
      </c>
      <c r="D364" s="134" t="s">
        <v>1003</v>
      </c>
      <c r="E364" s="133" t="s">
        <v>2640</v>
      </c>
      <c r="F364" s="41">
        <f t="shared" si="5"/>
        <v>1</v>
      </c>
      <c r="J364" s="139"/>
    </row>
    <row r="365" spans="1:10">
      <c r="A365" s="134" t="s">
        <v>1004</v>
      </c>
      <c r="B365" s="132" t="s">
        <v>551</v>
      </c>
      <c r="C365" s="133" t="s">
        <v>2641</v>
      </c>
      <c r="D365" s="134" t="s">
        <v>1004</v>
      </c>
      <c r="E365" s="133" t="s">
        <v>2642</v>
      </c>
      <c r="F365" s="41">
        <f t="shared" si="5"/>
        <v>1</v>
      </c>
      <c r="J365" s="139"/>
    </row>
    <row r="366" spans="1:10">
      <c r="A366" s="134" t="s">
        <v>1006</v>
      </c>
      <c r="B366" s="132" t="s">
        <v>570</v>
      </c>
      <c r="C366" s="133" t="s">
        <v>2643</v>
      </c>
      <c r="D366" s="134" t="s">
        <v>1006</v>
      </c>
      <c r="E366" s="133" t="s">
        <v>2644</v>
      </c>
      <c r="F366" s="41">
        <f t="shared" si="5"/>
        <v>1</v>
      </c>
      <c r="J366" s="139"/>
    </row>
    <row r="367" spans="1:10">
      <c r="A367" s="134" t="s">
        <v>1007</v>
      </c>
      <c r="B367" s="132" t="s">
        <v>584</v>
      </c>
      <c r="C367" s="133" t="s">
        <v>2645</v>
      </c>
      <c r="D367" s="134" t="s">
        <v>1007</v>
      </c>
      <c r="E367" s="133" t="s">
        <v>2646</v>
      </c>
      <c r="F367" s="41">
        <f t="shared" si="5"/>
        <v>1</v>
      </c>
      <c r="J367" s="139"/>
    </row>
    <row r="368" spans="1:10">
      <c r="A368" s="134" t="s">
        <v>1009</v>
      </c>
      <c r="B368" s="132" t="s">
        <v>591</v>
      </c>
      <c r="C368" s="133" t="s">
        <v>2647</v>
      </c>
      <c r="D368" s="134" t="s">
        <v>1009</v>
      </c>
      <c r="E368" s="133" t="s">
        <v>2648</v>
      </c>
      <c r="F368" s="41">
        <f t="shared" si="5"/>
        <v>1</v>
      </c>
      <c r="J368" s="139"/>
    </row>
    <row r="369" spans="1:10">
      <c r="A369" s="131" t="s">
        <v>809</v>
      </c>
      <c r="B369" s="129" t="s">
        <v>45</v>
      </c>
      <c r="C369" s="130" t="s">
        <v>1351</v>
      </c>
      <c r="D369" s="131" t="s">
        <v>809</v>
      </c>
      <c r="E369" s="130" t="s">
        <v>1352</v>
      </c>
      <c r="F369" s="41">
        <f t="shared" si="5"/>
        <v>3</v>
      </c>
      <c r="J369" s="139"/>
    </row>
    <row r="370" spans="1:10">
      <c r="A370" s="134" t="s">
        <v>2649</v>
      </c>
      <c r="B370" s="132" t="s">
        <v>2650</v>
      </c>
      <c r="C370" s="133" t="s">
        <v>2651</v>
      </c>
      <c r="D370" s="134" t="s">
        <v>2649</v>
      </c>
      <c r="E370" s="133" t="s">
        <v>2652</v>
      </c>
      <c r="F370" s="41">
        <f t="shared" si="5"/>
        <v>1</v>
      </c>
      <c r="J370" s="139"/>
    </row>
    <row r="371" spans="1:10">
      <c r="A371" s="134" t="s">
        <v>809</v>
      </c>
      <c r="B371" s="132" t="s">
        <v>45</v>
      </c>
      <c r="C371" s="133" t="s">
        <v>1351</v>
      </c>
      <c r="D371" s="134" t="s">
        <v>809</v>
      </c>
      <c r="E371" s="133" t="s">
        <v>1352</v>
      </c>
      <c r="F371" s="41">
        <f t="shared" si="5"/>
        <v>3</v>
      </c>
      <c r="J371" s="139"/>
    </row>
    <row r="372" spans="1:10">
      <c r="A372" s="131" t="s">
        <v>2653</v>
      </c>
      <c r="B372" s="129" t="s">
        <v>324</v>
      </c>
      <c r="C372" s="130" t="s">
        <v>2654</v>
      </c>
      <c r="D372" s="131" t="s">
        <v>2653</v>
      </c>
      <c r="E372" s="130" t="s">
        <v>2655</v>
      </c>
      <c r="F372" s="41">
        <f t="shared" si="5"/>
        <v>2</v>
      </c>
      <c r="J372" s="139"/>
    </row>
    <row r="373" spans="1:10">
      <c r="A373" s="134" t="s">
        <v>2656</v>
      </c>
      <c r="B373" s="132" t="s">
        <v>325</v>
      </c>
      <c r="C373" s="133" t="s">
        <v>325</v>
      </c>
      <c r="D373" s="134" t="s">
        <v>2656</v>
      </c>
      <c r="E373" s="133" t="s">
        <v>2657</v>
      </c>
      <c r="F373" s="41">
        <f t="shared" si="5"/>
        <v>2</v>
      </c>
      <c r="J373" s="139"/>
    </row>
    <row r="374" spans="1:10">
      <c r="A374" s="134" t="s">
        <v>2653</v>
      </c>
      <c r="B374" s="132" t="s">
        <v>2658</v>
      </c>
      <c r="C374" s="133" t="s">
        <v>2654</v>
      </c>
      <c r="D374" s="134" t="s">
        <v>2653</v>
      </c>
      <c r="E374" s="133" t="s">
        <v>2655</v>
      </c>
      <c r="F374" s="41">
        <f t="shared" si="5"/>
        <v>2</v>
      </c>
      <c r="J374" s="139"/>
    </row>
    <row r="375" spans="1:10">
      <c r="A375" s="134" t="s">
        <v>2659</v>
      </c>
      <c r="B375" s="132" t="s">
        <v>323</v>
      </c>
      <c r="C375" s="133" t="s">
        <v>2660</v>
      </c>
      <c r="D375" s="134" t="s">
        <v>2659</v>
      </c>
      <c r="E375" s="133" t="s">
        <v>2661</v>
      </c>
      <c r="F375" s="41">
        <f t="shared" si="5"/>
        <v>1</v>
      </c>
      <c r="J375" s="139"/>
    </row>
    <row r="376" spans="1:10">
      <c r="A376" s="131" t="s">
        <v>2662</v>
      </c>
      <c r="B376" s="129" t="s">
        <v>314</v>
      </c>
      <c r="C376" s="130" t="s">
        <v>2663</v>
      </c>
      <c r="D376" s="131" t="s">
        <v>2662</v>
      </c>
      <c r="E376" s="130" t="s">
        <v>2664</v>
      </c>
      <c r="F376" s="41">
        <f t="shared" si="5"/>
        <v>2</v>
      </c>
      <c r="J376" s="139"/>
    </row>
    <row r="377" spans="1:10">
      <c r="A377" s="134" t="s">
        <v>2665</v>
      </c>
      <c r="B377" s="132" t="s">
        <v>2666</v>
      </c>
      <c r="C377" s="133" t="s">
        <v>2666</v>
      </c>
      <c r="D377" s="134" t="s">
        <v>2665</v>
      </c>
      <c r="E377" s="133" t="s">
        <v>2667</v>
      </c>
      <c r="F377" s="41">
        <f t="shared" si="5"/>
        <v>2</v>
      </c>
      <c r="J377" s="139"/>
    </row>
    <row r="378" spans="1:10">
      <c r="A378" s="134" t="s">
        <v>2662</v>
      </c>
      <c r="B378" s="132" t="s">
        <v>314</v>
      </c>
      <c r="C378" s="133" t="s">
        <v>2663</v>
      </c>
      <c r="D378" s="134" t="s">
        <v>2662</v>
      </c>
      <c r="E378" s="133" t="s">
        <v>2664</v>
      </c>
      <c r="F378" s="41">
        <f t="shared" si="5"/>
        <v>2</v>
      </c>
      <c r="J378" s="139"/>
    </row>
    <row r="379" spans="1:10">
      <c r="A379" s="131" t="s">
        <v>2668</v>
      </c>
      <c r="B379" s="129" t="s">
        <v>333</v>
      </c>
      <c r="C379" s="130" t="s">
        <v>2669</v>
      </c>
      <c r="D379" s="131" t="s">
        <v>2668</v>
      </c>
      <c r="E379" s="130" t="s">
        <v>2670</v>
      </c>
      <c r="F379" s="41">
        <f t="shared" si="5"/>
        <v>1</v>
      </c>
      <c r="J379" s="139"/>
    </row>
    <row r="380" spans="1:10">
      <c r="A380" s="134" t="s">
        <v>2671</v>
      </c>
      <c r="B380" s="132" t="s">
        <v>2672</v>
      </c>
      <c r="C380" s="133" t="s">
        <v>2672</v>
      </c>
      <c r="D380" s="134" t="s">
        <v>2671</v>
      </c>
      <c r="E380" s="133" t="s">
        <v>2673</v>
      </c>
      <c r="F380" s="41">
        <f t="shared" si="5"/>
        <v>2</v>
      </c>
      <c r="J380" s="139"/>
    </row>
    <row r="381" spans="1:10">
      <c r="A381" s="134" t="s">
        <v>2668</v>
      </c>
      <c r="B381" s="132" t="s">
        <v>2669</v>
      </c>
      <c r="C381" s="133" t="s">
        <v>2669</v>
      </c>
      <c r="D381" s="134" t="s">
        <v>2668</v>
      </c>
      <c r="E381" s="133" t="s">
        <v>2670</v>
      </c>
      <c r="F381" s="41">
        <f t="shared" si="5"/>
        <v>1</v>
      </c>
      <c r="J381" s="139"/>
    </row>
    <row r="382" spans="1:10">
      <c r="A382" s="134" t="s">
        <v>2674</v>
      </c>
      <c r="B382" s="132" t="s">
        <v>344</v>
      </c>
      <c r="C382" s="133" t="s">
        <v>2675</v>
      </c>
      <c r="D382" s="134" t="s">
        <v>2674</v>
      </c>
      <c r="E382" s="133" t="s">
        <v>2676</v>
      </c>
      <c r="F382" s="41">
        <f t="shared" si="5"/>
        <v>1</v>
      </c>
      <c r="J382" s="139"/>
    </row>
    <row r="383" spans="1:10">
      <c r="A383" s="134" t="s">
        <v>2677</v>
      </c>
      <c r="B383" s="132" t="s">
        <v>2678</v>
      </c>
      <c r="C383" s="133" t="s">
        <v>2679</v>
      </c>
      <c r="D383" s="134" t="s">
        <v>2677</v>
      </c>
      <c r="E383" s="133" t="s">
        <v>2680</v>
      </c>
      <c r="F383" s="41">
        <f t="shared" si="5"/>
        <v>1</v>
      </c>
      <c r="J383" s="139"/>
    </row>
    <row r="384" spans="1:10">
      <c r="A384" s="134" t="s">
        <v>2681</v>
      </c>
      <c r="B384" s="132" t="s">
        <v>345</v>
      </c>
      <c r="C384" s="133" t="s">
        <v>2682</v>
      </c>
      <c r="D384" s="134" t="s">
        <v>2681</v>
      </c>
      <c r="E384" s="133" t="s">
        <v>2683</v>
      </c>
      <c r="F384" s="41">
        <f t="shared" si="5"/>
        <v>1</v>
      </c>
      <c r="J384" s="139"/>
    </row>
    <row r="385" spans="1:10">
      <c r="A385" s="131" t="s">
        <v>2684</v>
      </c>
      <c r="B385" s="129" t="s">
        <v>2685</v>
      </c>
      <c r="C385" s="130" t="s">
        <v>2685</v>
      </c>
      <c r="D385" s="131" t="s">
        <v>2684</v>
      </c>
      <c r="E385" s="130" t="s">
        <v>2686</v>
      </c>
      <c r="F385" s="41">
        <f t="shared" si="5"/>
        <v>2</v>
      </c>
      <c r="J385" s="139"/>
    </row>
    <row r="386" spans="1:10">
      <c r="A386" s="134" t="s">
        <v>2687</v>
      </c>
      <c r="B386" s="132" t="s">
        <v>2688</v>
      </c>
      <c r="C386" s="133" t="s">
        <v>2688</v>
      </c>
      <c r="D386" s="134" t="s">
        <v>2687</v>
      </c>
      <c r="E386" s="133" t="s">
        <v>2689</v>
      </c>
      <c r="F386" s="41">
        <f t="shared" si="5"/>
        <v>2</v>
      </c>
      <c r="J386" s="139"/>
    </row>
    <row r="387" spans="1:10">
      <c r="A387" s="134" t="s">
        <v>2684</v>
      </c>
      <c r="B387" s="132" t="s">
        <v>2685</v>
      </c>
      <c r="C387" s="133" t="s">
        <v>2685</v>
      </c>
      <c r="D387" s="134" t="s">
        <v>2684</v>
      </c>
      <c r="E387" s="133" t="s">
        <v>2686</v>
      </c>
      <c r="F387" s="41">
        <f t="shared" ref="F387:F450" si="6">COUNTIF(B:B,B387)</f>
        <v>2</v>
      </c>
      <c r="J387" s="139"/>
    </row>
    <row r="388" spans="1:10">
      <c r="A388" s="134" t="s">
        <v>2690</v>
      </c>
      <c r="B388" s="132" t="s">
        <v>350</v>
      </c>
      <c r="C388" s="133" t="s">
        <v>2691</v>
      </c>
      <c r="D388" s="134" t="s">
        <v>2690</v>
      </c>
      <c r="E388" s="133" t="s">
        <v>2692</v>
      </c>
      <c r="F388" s="41">
        <f t="shared" si="6"/>
        <v>1</v>
      </c>
      <c r="J388" s="139"/>
    </row>
    <row r="389" spans="1:10">
      <c r="A389" s="131" t="s">
        <v>926</v>
      </c>
      <c r="B389" s="129" t="s">
        <v>1653</v>
      </c>
      <c r="C389" s="130" t="s">
        <v>1653</v>
      </c>
      <c r="D389" s="131" t="s">
        <v>926</v>
      </c>
      <c r="E389" s="130" t="s">
        <v>2693</v>
      </c>
      <c r="F389" s="41">
        <f t="shared" si="6"/>
        <v>2</v>
      </c>
      <c r="J389" s="139"/>
    </row>
    <row r="390" spans="1:10">
      <c r="A390" s="134" t="s">
        <v>2694</v>
      </c>
      <c r="B390" s="132" t="s">
        <v>2695</v>
      </c>
      <c r="C390" s="133" t="s">
        <v>2696</v>
      </c>
      <c r="D390" s="134" t="s">
        <v>2694</v>
      </c>
      <c r="E390" s="133" t="s">
        <v>2697</v>
      </c>
      <c r="F390" s="41">
        <f t="shared" si="6"/>
        <v>1</v>
      </c>
      <c r="J390" s="139"/>
    </row>
    <row r="391" spans="1:10">
      <c r="A391" s="134" t="s">
        <v>926</v>
      </c>
      <c r="B391" s="132" t="s">
        <v>1653</v>
      </c>
      <c r="C391" s="133" t="s">
        <v>1653</v>
      </c>
      <c r="D391" s="134" t="s">
        <v>926</v>
      </c>
      <c r="E391" s="133" t="s">
        <v>1654</v>
      </c>
      <c r="F391" s="41">
        <f t="shared" si="6"/>
        <v>2</v>
      </c>
      <c r="J391" s="139"/>
    </row>
    <row r="392" spans="1:10">
      <c r="A392" s="131" t="s">
        <v>2698</v>
      </c>
      <c r="B392" s="129" t="s">
        <v>2699</v>
      </c>
      <c r="C392" s="130" t="s">
        <v>2700</v>
      </c>
      <c r="D392" s="131" t="s">
        <v>2698</v>
      </c>
      <c r="E392" s="130" t="s">
        <v>2701</v>
      </c>
      <c r="F392" s="41">
        <f t="shared" si="6"/>
        <v>1</v>
      </c>
      <c r="J392" s="139"/>
    </row>
    <row r="393" spans="1:10">
      <c r="A393" s="134" t="s">
        <v>2702</v>
      </c>
      <c r="B393" s="132" t="s">
        <v>2703</v>
      </c>
      <c r="C393" s="133" t="s">
        <v>2703</v>
      </c>
      <c r="D393" s="134" t="s">
        <v>2702</v>
      </c>
      <c r="E393" s="133" t="s">
        <v>2704</v>
      </c>
      <c r="F393" s="41">
        <f t="shared" si="6"/>
        <v>2</v>
      </c>
      <c r="J393" s="139"/>
    </row>
    <row r="394" spans="1:10">
      <c r="A394" s="134" t="s">
        <v>2698</v>
      </c>
      <c r="B394" s="132" t="s">
        <v>2700</v>
      </c>
      <c r="C394" s="133" t="s">
        <v>2700</v>
      </c>
      <c r="D394" s="134" t="s">
        <v>2698</v>
      </c>
      <c r="E394" s="133" t="s">
        <v>2701</v>
      </c>
      <c r="F394" s="41">
        <f t="shared" si="6"/>
        <v>1</v>
      </c>
      <c r="J394" s="139"/>
    </row>
    <row r="395" spans="1:10">
      <c r="A395" s="134" t="s">
        <v>2705</v>
      </c>
      <c r="B395" s="132" t="s">
        <v>2706</v>
      </c>
      <c r="C395" s="133" t="s">
        <v>2706</v>
      </c>
      <c r="D395" s="134" t="s">
        <v>2705</v>
      </c>
      <c r="E395" s="133" t="s">
        <v>750</v>
      </c>
      <c r="F395" s="41">
        <f t="shared" si="6"/>
        <v>1</v>
      </c>
      <c r="J395" s="139"/>
    </row>
    <row r="396" spans="1:10">
      <c r="A396" s="131" t="s">
        <v>805</v>
      </c>
      <c r="B396" s="129" t="s">
        <v>2707</v>
      </c>
      <c r="C396" s="130" t="s">
        <v>1339</v>
      </c>
      <c r="D396" s="131" t="s">
        <v>805</v>
      </c>
      <c r="E396" s="130" t="s">
        <v>1340</v>
      </c>
      <c r="F396" s="41">
        <f t="shared" si="6"/>
        <v>3</v>
      </c>
      <c r="J396" s="139"/>
    </row>
    <row r="397" spans="1:10">
      <c r="A397" s="134" t="s">
        <v>2708</v>
      </c>
      <c r="B397" s="132" t="s">
        <v>317</v>
      </c>
      <c r="C397" s="133" t="s">
        <v>2709</v>
      </c>
      <c r="D397" s="134" t="s">
        <v>2708</v>
      </c>
      <c r="E397" s="133" t="s">
        <v>2710</v>
      </c>
      <c r="F397" s="41">
        <f t="shared" si="6"/>
        <v>1</v>
      </c>
      <c r="J397" s="139"/>
    </row>
    <row r="398" spans="1:10">
      <c r="A398" s="134" t="s">
        <v>805</v>
      </c>
      <c r="B398" s="132" t="s">
        <v>2707</v>
      </c>
      <c r="C398" s="133" t="s">
        <v>1339</v>
      </c>
      <c r="D398" s="134" t="s">
        <v>805</v>
      </c>
      <c r="E398" s="133" t="s">
        <v>1340</v>
      </c>
      <c r="F398" s="41">
        <f t="shared" si="6"/>
        <v>3</v>
      </c>
      <c r="J398" s="139"/>
    </row>
    <row r="399" spans="1:10">
      <c r="A399" s="131" t="s">
        <v>2711</v>
      </c>
      <c r="B399" s="129" t="s">
        <v>331</v>
      </c>
      <c r="C399" s="130" t="s">
        <v>2712</v>
      </c>
      <c r="D399" s="131" t="s">
        <v>2711</v>
      </c>
      <c r="E399" s="130" t="s">
        <v>2713</v>
      </c>
      <c r="F399" s="41">
        <f t="shared" si="6"/>
        <v>1</v>
      </c>
      <c r="J399" s="139"/>
    </row>
    <row r="400" spans="1:10">
      <c r="A400" s="134" t="s">
        <v>2702</v>
      </c>
      <c r="B400" s="132" t="s">
        <v>2703</v>
      </c>
      <c r="C400" s="133" t="s">
        <v>2703</v>
      </c>
      <c r="D400" s="134" t="s">
        <v>2702</v>
      </c>
      <c r="E400" s="133" t="s">
        <v>2704</v>
      </c>
      <c r="F400" s="41">
        <f t="shared" si="6"/>
        <v>2</v>
      </c>
      <c r="J400" s="139"/>
    </row>
    <row r="401" spans="1:10">
      <c r="A401" s="134" t="s">
        <v>2711</v>
      </c>
      <c r="B401" s="132" t="s">
        <v>2714</v>
      </c>
      <c r="C401" s="133" t="s">
        <v>2712</v>
      </c>
      <c r="D401" s="134" t="s">
        <v>2711</v>
      </c>
      <c r="E401" s="133" t="s">
        <v>2713</v>
      </c>
      <c r="F401" s="41">
        <f t="shared" si="6"/>
        <v>1</v>
      </c>
      <c r="J401" s="139"/>
    </row>
    <row r="402" spans="1:10" ht="27">
      <c r="A402" s="134" t="s">
        <v>2715</v>
      </c>
      <c r="B402" s="132" t="s">
        <v>2716</v>
      </c>
      <c r="C402" s="133" t="s">
        <v>2717</v>
      </c>
      <c r="D402" s="134" t="s">
        <v>2715</v>
      </c>
      <c r="E402" s="133" t="s">
        <v>2718</v>
      </c>
      <c r="F402" s="41">
        <f t="shared" si="6"/>
        <v>1</v>
      </c>
      <c r="J402" s="139"/>
    </row>
    <row r="403" spans="1:10">
      <c r="A403" s="131" t="s">
        <v>2719</v>
      </c>
      <c r="B403" s="129" t="s">
        <v>330</v>
      </c>
      <c r="C403" s="130" t="s">
        <v>2720</v>
      </c>
      <c r="D403" s="131" t="s">
        <v>2719</v>
      </c>
      <c r="E403" s="130" t="s">
        <v>2721</v>
      </c>
      <c r="F403" s="41">
        <f t="shared" si="6"/>
        <v>1</v>
      </c>
      <c r="J403" s="139"/>
    </row>
    <row r="404" spans="1:10">
      <c r="A404" s="134" t="s">
        <v>2671</v>
      </c>
      <c r="B404" s="132" t="s">
        <v>2672</v>
      </c>
      <c r="C404" s="133" t="s">
        <v>2672</v>
      </c>
      <c r="D404" s="134" t="s">
        <v>2671</v>
      </c>
      <c r="E404" s="133" t="s">
        <v>2673</v>
      </c>
      <c r="F404" s="41">
        <f t="shared" si="6"/>
        <v>2</v>
      </c>
      <c r="J404" s="139"/>
    </row>
    <row r="405" spans="1:10">
      <c r="A405" s="134" t="s">
        <v>2719</v>
      </c>
      <c r="B405" s="132" t="s">
        <v>2722</v>
      </c>
      <c r="C405" s="133" t="s">
        <v>2720</v>
      </c>
      <c r="D405" s="134" t="s">
        <v>2719</v>
      </c>
      <c r="E405" s="133" t="s">
        <v>2721</v>
      </c>
      <c r="F405" s="41">
        <f t="shared" si="6"/>
        <v>1</v>
      </c>
      <c r="J405" s="139"/>
    </row>
    <row r="406" spans="1:10">
      <c r="A406" s="134" t="s">
        <v>2723</v>
      </c>
      <c r="B406" s="132" t="s">
        <v>2724</v>
      </c>
      <c r="C406" s="133" t="s">
        <v>2725</v>
      </c>
      <c r="D406" s="134" t="s">
        <v>2723</v>
      </c>
      <c r="E406" s="133" t="s">
        <v>2726</v>
      </c>
      <c r="F406" s="41">
        <f t="shared" si="6"/>
        <v>1</v>
      </c>
      <c r="J406" s="139"/>
    </row>
    <row r="407" spans="1:10">
      <c r="A407" s="134" t="s">
        <v>2727</v>
      </c>
      <c r="B407" s="132" t="s">
        <v>352</v>
      </c>
      <c r="C407" s="133" t="s">
        <v>2728</v>
      </c>
      <c r="D407" s="134" t="s">
        <v>2727</v>
      </c>
      <c r="E407" s="133" t="s">
        <v>2729</v>
      </c>
      <c r="F407" s="41">
        <f t="shared" si="6"/>
        <v>1</v>
      </c>
      <c r="J407" s="139"/>
    </row>
    <row r="408" spans="1:10">
      <c r="A408" s="131" t="s">
        <v>2730</v>
      </c>
      <c r="B408" s="129" t="s">
        <v>332</v>
      </c>
      <c r="C408" s="130" t="s">
        <v>2731</v>
      </c>
      <c r="D408" s="131" t="s">
        <v>2730</v>
      </c>
      <c r="E408" s="130" t="s">
        <v>2732</v>
      </c>
      <c r="F408" s="41">
        <f t="shared" si="6"/>
        <v>1</v>
      </c>
      <c r="J408" s="139"/>
    </row>
    <row r="409" spans="1:10">
      <c r="A409" s="134" t="s">
        <v>2733</v>
      </c>
      <c r="B409" s="132" t="s">
        <v>2734</v>
      </c>
      <c r="C409" s="133" t="s">
        <v>2734</v>
      </c>
      <c r="D409" s="134" t="s">
        <v>2733</v>
      </c>
      <c r="E409" s="133" t="s">
        <v>2735</v>
      </c>
      <c r="F409" s="41">
        <f t="shared" si="6"/>
        <v>1</v>
      </c>
      <c r="J409" s="139"/>
    </row>
    <row r="410" spans="1:10">
      <c r="A410" s="134" t="s">
        <v>2730</v>
      </c>
      <c r="B410" s="132" t="s">
        <v>2736</v>
      </c>
      <c r="C410" s="133" t="s">
        <v>2731</v>
      </c>
      <c r="D410" s="134" t="s">
        <v>2730</v>
      </c>
      <c r="E410" s="133" t="s">
        <v>2732</v>
      </c>
      <c r="F410" s="41">
        <f t="shared" si="6"/>
        <v>1</v>
      </c>
      <c r="J410" s="139"/>
    </row>
    <row r="411" spans="1:10">
      <c r="A411" s="131" t="s">
        <v>2737</v>
      </c>
      <c r="B411" s="129" t="s">
        <v>322</v>
      </c>
      <c r="C411" s="130" t="s">
        <v>2738</v>
      </c>
      <c r="D411" s="131" t="s">
        <v>2737</v>
      </c>
      <c r="E411" s="130" t="s">
        <v>2739</v>
      </c>
      <c r="F411" s="41">
        <f t="shared" si="6"/>
        <v>1</v>
      </c>
      <c r="J411" s="139"/>
    </row>
    <row r="412" spans="1:10">
      <c r="A412" s="134" t="s">
        <v>2656</v>
      </c>
      <c r="B412" s="132" t="s">
        <v>325</v>
      </c>
      <c r="C412" s="133" t="s">
        <v>325</v>
      </c>
      <c r="D412" s="134" t="s">
        <v>2656</v>
      </c>
      <c r="E412" s="133" t="s">
        <v>2657</v>
      </c>
      <c r="F412" s="41">
        <f t="shared" si="6"/>
        <v>2</v>
      </c>
      <c r="J412" s="139"/>
    </row>
    <row r="413" spans="1:10">
      <c r="A413" s="134" t="s">
        <v>2737</v>
      </c>
      <c r="B413" s="132" t="s">
        <v>2740</v>
      </c>
      <c r="C413" s="133" t="s">
        <v>2738</v>
      </c>
      <c r="D413" s="134" t="s">
        <v>2737</v>
      </c>
      <c r="E413" s="133" t="s">
        <v>2739</v>
      </c>
      <c r="F413" s="41">
        <f t="shared" si="6"/>
        <v>1</v>
      </c>
      <c r="J413" s="139"/>
    </row>
    <row r="414" spans="1:10">
      <c r="A414" s="131" t="s">
        <v>2741</v>
      </c>
      <c r="B414" s="129" t="s">
        <v>313</v>
      </c>
      <c r="C414" s="130" t="s">
        <v>2742</v>
      </c>
      <c r="D414" s="131" t="s">
        <v>2741</v>
      </c>
      <c r="E414" s="130" t="s">
        <v>2743</v>
      </c>
      <c r="F414" s="41">
        <f t="shared" si="6"/>
        <v>2</v>
      </c>
      <c r="J414" s="139"/>
    </row>
    <row r="415" spans="1:10">
      <c r="A415" s="134" t="s">
        <v>2665</v>
      </c>
      <c r="B415" s="132" t="s">
        <v>2666</v>
      </c>
      <c r="C415" s="133" t="s">
        <v>2666</v>
      </c>
      <c r="D415" s="134" t="s">
        <v>2665</v>
      </c>
      <c r="E415" s="133" t="s">
        <v>2667</v>
      </c>
      <c r="F415" s="41">
        <f t="shared" si="6"/>
        <v>2</v>
      </c>
      <c r="J415" s="139"/>
    </row>
    <row r="416" spans="1:10">
      <c r="A416" s="134" t="s">
        <v>2741</v>
      </c>
      <c r="B416" s="132" t="s">
        <v>313</v>
      </c>
      <c r="C416" s="133" t="s">
        <v>2742</v>
      </c>
      <c r="D416" s="134" t="s">
        <v>2741</v>
      </c>
      <c r="E416" s="133" t="s">
        <v>2743</v>
      </c>
      <c r="F416" s="41">
        <f t="shared" si="6"/>
        <v>2</v>
      </c>
      <c r="J416" s="139"/>
    </row>
    <row r="417" spans="1:10" ht="24.75">
      <c r="A417" s="134" t="s">
        <v>2744</v>
      </c>
      <c r="B417" s="132" t="s">
        <v>2745</v>
      </c>
      <c r="C417" s="133" t="s">
        <v>2746</v>
      </c>
      <c r="D417" s="134" t="s">
        <v>2744</v>
      </c>
      <c r="E417" s="133" t="s">
        <v>2747</v>
      </c>
      <c r="F417" s="41">
        <f t="shared" si="6"/>
        <v>1</v>
      </c>
      <c r="J417" s="139"/>
    </row>
    <row r="418" spans="1:10" ht="24.75">
      <c r="A418" s="131" t="s">
        <v>2748</v>
      </c>
      <c r="B418" s="129" t="s">
        <v>2749</v>
      </c>
      <c r="C418" s="130" t="s">
        <v>2750</v>
      </c>
      <c r="D418" s="131" t="s">
        <v>2748</v>
      </c>
      <c r="E418" s="130" t="s">
        <v>2751</v>
      </c>
      <c r="F418" s="41">
        <f t="shared" si="6"/>
        <v>1</v>
      </c>
      <c r="J418" s="139"/>
    </row>
    <row r="419" spans="1:10">
      <c r="A419" s="134" t="s">
        <v>2687</v>
      </c>
      <c r="B419" s="132" t="s">
        <v>2688</v>
      </c>
      <c r="C419" s="133" t="s">
        <v>2688</v>
      </c>
      <c r="D419" s="134" t="s">
        <v>2687</v>
      </c>
      <c r="E419" s="133" t="s">
        <v>2689</v>
      </c>
      <c r="F419" s="41">
        <f t="shared" si="6"/>
        <v>2</v>
      </c>
      <c r="J419" s="139"/>
    </row>
    <row r="420" spans="1:10" ht="24.75">
      <c r="A420" s="134" t="s">
        <v>2748</v>
      </c>
      <c r="B420" s="132" t="s">
        <v>2752</v>
      </c>
      <c r="C420" s="133" t="s">
        <v>2750</v>
      </c>
      <c r="D420" s="134" t="s">
        <v>2748</v>
      </c>
      <c r="E420" s="133" t="s">
        <v>2751</v>
      </c>
      <c r="F420" s="41">
        <f t="shared" si="6"/>
        <v>3</v>
      </c>
      <c r="J420" s="139"/>
    </row>
    <row r="421" spans="1:10">
      <c r="A421" s="134" t="s">
        <v>2753</v>
      </c>
      <c r="B421" s="132" t="s">
        <v>2754</v>
      </c>
      <c r="C421" s="133" t="s">
        <v>2755</v>
      </c>
      <c r="D421" s="134" t="s">
        <v>2753</v>
      </c>
      <c r="E421" s="133" t="s">
        <v>2756</v>
      </c>
      <c r="F421" s="41">
        <f t="shared" si="6"/>
        <v>1</v>
      </c>
      <c r="J421" s="139"/>
    </row>
    <row r="422" spans="1:10">
      <c r="A422" s="131" t="s">
        <v>2757</v>
      </c>
      <c r="B422" s="129" t="s">
        <v>2758</v>
      </c>
      <c r="C422" s="130" t="s">
        <v>2759</v>
      </c>
      <c r="D422" s="131" t="s">
        <v>2757</v>
      </c>
      <c r="E422" s="130" t="s">
        <v>2760</v>
      </c>
      <c r="F422" s="41">
        <f t="shared" si="6"/>
        <v>1</v>
      </c>
      <c r="J422" s="139"/>
    </row>
    <row r="423" spans="1:10">
      <c r="A423" s="131" t="s">
        <v>2761</v>
      </c>
      <c r="B423" s="129" t="s">
        <v>2762</v>
      </c>
      <c r="C423" s="130" t="s">
        <v>2763</v>
      </c>
      <c r="D423" s="131" t="s">
        <v>2761</v>
      </c>
      <c r="E423" s="130" t="s">
        <v>2764</v>
      </c>
      <c r="F423" s="41">
        <f t="shared" si="6"/>
        <v>1</v>
      </c>
      <c r="J423" s="139"/>
    </row>
    <row r="424" spans="1:10">
      <c r="A424" s="131" t="s">
        <v>2765</v>
      </c>
      <c r="B424" s="129" t="s">
        <v>2766</v>
      </c>
      <c r="C424" s="130" t="s">
        <v>2767</v>
      </c>
      <c r="D424" s="131" t="s">
        <v>2765</v>
      </c>
      <c r="E424" s="130" t="s">
        <v>2768</v>
      </c>
      <c r="F424" s="41">
        <f t="shared" si="6"/>
        <v>3</v>
      </c>
      <c r="J424" s="139"/>
    </row>
    <row r="425" spans="1:10">
      <c r="A425" s="134" t="s">
        <v>2769</v>
      </c>
      <c r="B425" s="132" t="s">
        <v>316</v>
      </c>
      <c r="C425" s="133" t="s">
        <v>750</v>
      </c>
      <c r="D425" s="134" t="s">
        <v>2769</v>
      </c>
      <c r="E425" s="133" t="s">
        <v>750</v>
      </c>
      <c r="F425" s="41">
        <f t="shared" si="6"/>
        <v>1</v>
      </c>
      <c r="J425" s="139"/>
    </row>
    <row r="426" spans="1:10">
      <c r="A426" s="134" t="s">
        <v>2765</v>
      </c>
      <c r="B426" s="132" t="s">
        <v>2766</v>
      </c>
      <c r="C426" s="133" t="s">
        <v>2770</v>
      </c>
      <c r="D426" s="134" t="s">
        <v>2765</v>
      </c>
      <c r="E426" s="133" t="s">
        <v>2768</v>
      </c>
      <c r="F426" s="41">
        <f t="shared" si="6"/>
        <v>3</v>
      </c>
      <c r="J426" s="139"/>
    </row>
    <row r="427" spans="1:10">
      <c r="A427" s="131" t="s">
        <v>2771</v>
      </c>
      <c r="B427" s="129" t="s">
        <v>2772</v>
      </c>
      <c r="C427" s="130" t="s">
        <v>2773</v>
      </c>
      <c r="D427" s="131" t="s">
        <v>2771</v>
      </c>
      <c r="E427" s="130" t="s">
        <v>2774</v>
      </c>
      <c r="F427" s="41">
        <f t="shared" si="6"/>
        <v>2</v>
      </c>
      <c r="J427" s="139"/>
    </row>
    <row r="428" spans="1:10">
      <c r="A428" s="134" t="s">
        <v>2775</v>
      </c>
      <c r="B428" s="132" t="s">
        <v>2776</v>
      </c>
      <c r="C428" s="133" t="s">
        <v>2777</v>
      </c>
      <c r="D428" s="134" t="s">
        <v>2775</v>
      </c>
      <c r="E428" s="133" t="s">
        <v>2778</v>
      </c>
      <c r="F428" s="41">
        <f t="shared" si="6"/>
        <v>1</v>
      </c>
      <c r="J428" s="139"/>
    </row>
    <row r="429" spans="1:10">
      <c r="A429" s="134" t="s">
        <v>2771</v>
      </c>
      <c r="B429" s="132" t="s">
        <v>2779</v>
      </c>
      <c r="C429" s="133" t="s">
        <v>2773</v>
      </c>
      <c r="D429" s="134" t="s">
        <v>2771</v>
      </c>
      <c r="E429" s="133" t="s">
        <v>2774</v>
      </c>
      <c r="F429" s="41">
        <f t="shared" si="6"/>
        <v>2</v>
      </c>
      <c r="J429" s="139"/>
    </row>
    <row r="430" spans="1:10">
      <c r="A430" s="134" t="s">
        <v>2780</v>
      </c>
      <c r="B430" s="132" t="s">
        <v>321</v>
      </c>
      <c r="C430" s="133" t="s">
        <v>2781</v>
      </c>
      <c r="D430" s="134" t="s">
        <v>2780</v>
      </c>
      <c r="E430" s="133" t="s">
        <v>2782</v>
      </c>
      <c r="F430" s="41">
        <f t="shared" si="6"/>
        <v>1</v>
      </c>
      <c r="J430" s="139"/>
    </row>
    <row r="431" spans="1:10">
      <c r="A431" s="134" t="s">
        <v>2783</v>
      </c>
      <c r="B431" s="132" t="s">
        <v>320</v>
      </c>
      <c r="C431" s="133" t="s">
        <v>2784</v>
      </c>
      <c r="D431" s="134" t="s">
        <v>2783</v>
      </c>
      <c r="E431" s="133" t="s">
        <v>2785</v>
      </c>
      <c r="F431" s="41">
        <f t="shared" si="6"/>
        <v>1</v>
      </c>
      <c r="J431" s="139"/>
    </row>
    <row r="432" spans="1:10">
      <c r="A432" s="134" t="s">
        <v>737</v>
      </c>
      <c r="B432" s="132" t="s">
        <v>2786</v>
      </c>
      <c r="C432" s="133" t="s">
        <v>2787</v>
      </c>
      <c r="D432" s="134" t="s">
        <v>737</v>
      </c>
      <c r="E432" s="133" t="s">
        <v>2788</v>
      </c>
      <c r="F432" s="41">
        <f t="shared" si="6"/>
        <v>1</v>
      </c>
      <c r="J432" s="139"/>
    </row>
    <row r="433" spans="1:10">
      <c r="A433" s="134" t="s">
        <v>733</v>
      </c>
      <c r="B433" s="132" t="s">
        <v>2789</v>
      </c>
      <c r="C433" s="133" t="s">
        <v>2790</v>
      </c>
      <c r="D433" s="134" t="s">
        <v>733</v>
      </c>
      <c r="E433" s="133" t="s">
        <v>2791</v>
      </c>
      <c r="F433" s="41">
        <f t="shared" si="6"/>
        <v>1</v>
      </c>
      <c r="J433" s="139"/>
    </row>
    <row r="434" spans="1:10">
      <c r="A434" s="134" t="s">
        <v>740</v>
      </c>
      <c r="B434" s="132" t="s">
        <v>2792</v>
      </c>
      <c r="C434" s="133" t="s">
        <v>2793</v>
      </c>
      <c r="D434" s="134" t="s">
        <v>740</v>
      </c>
      <c r="E434" s="133" t="s">
        <v>2794</v>
      </c>
      <c r="F434" s="41">
        <f t="shared" si="6"/>
        <v>2</v>
      </c>
      <c r="J434" s="139"/>
    </row>
    <row r="435" spans="1:10">
      <c r="A435" s="134" t="s">
        <v>715</v>
      </c>
      <c r="B435" s="132" t="s">
        <v>456</v>
      </c>
      <c r="C435" s="133" t="s">
        <v>2795</v>
      </c>
      <c r="D435" s="134" t="s">
        <v>715</v>
      </c>
      <c r="E435" s="133" t="s">
        <v>2796</v>
      </c>
      <c r="F435" s="41">
        <f t="shared" si="6"/>
        <v>1</v>
      </c>
      <c r="J435" s="139"/>
    </row>
    <row r="436" spans="1:10">
      <c r="A436" s="134" t="s">
        <v>720</v>
      </c>
      <c r="B436" s="132" t="s">
        <v>498</v>
      </c>
      <c r="C436" s="133" t="s">
        <v>2797</v>
      </c>
      <c r="D436" s="134" t="s">
        <v>720</v>
      </c>
      <c r="E436" s="133" t="s">
        <v>2798</v>
      </c>
      <c r="F436" s="41">
        <f t="shared" si="6"/>
        <v>1</v>
      </c>
      <c r="J436" s="139"/>
    </row>
    <row r="437" spans="1:10">
      <c r="A437" s="134" t="s">
        <v>725</v>
      </c>
      <c r="B437" s="132" t="s">
        <v>530</v>
      </c>
      <c r="C437" s="133" t="s">
        <v>2799</v>
      </c>
      <c r="D437" s="134" t="s">
        <v>725</v>
      </c>
      <c r="E437" s="133" t="s">
        <v>2800</v>
      </c>
      <c r="F437" s="41">
        <f t="shared" si="6"/>
        <v>1</v>
      </c>
      <c r="J437" s="139"/>
    </row>
    <row r="438" spans="1:10">
      <c r="A438" s="134" t="s">
        <v>730</v>
      </c>
      <c r="B438" s="132" t="s">
        <v>553</v>
      </c>
      <c r="C438" s="133" t="s">
        <v>2801</v>
      </c>
      <c r="D438" s="134" t="s">
        <v>730</v>
      </c>
      <c r="E438" s="133" t="s">
        <v>2802</v>
      </c>
      <c r="F438" s="41">
        <f t="shared" si="6"/>
        <v>1</v>
      </c>
      <c r="J438" s="139"/>
    </row>
    <row r="439" spans="1:10" ht="24.75">
      <c r="A439" s="134">
        <v>278092006</v>
      </c>
      <c r="B439" s="132" t="s">
        <v>2792</v>
      </c>
      <c r="C439" s="133" t="s">
        <v>2803</v>
      </c>
      <c r="D439" s="134" t="s">
        <v>757</v>
      </c>
      <c r="E439" s="133" t="s">
        <v>2804</v>
      </c>
      <c r="F439" s="41">
        <f t="shared" si="6"/>
        <v>2</v>
      </c>
      <c r="J439" s="139"/>
    </row>
    <row r="440" spans="1:10" ht="24.75">
      <c r="A440" s="134" t="s">
        <v>760</v>
      </c>
      <c r="B440" s="132" t="s">
        <v>2805</v>
      </c>
      <c r="C440" s="133" t="s">
        <v>2806</v>
      </c>
      <c r="D440" s="134" t="s">
        <v>760</v>
      </c>
      <c r="E440" s="133" t="s">
        <v>2807</v>
      </c>
      <c r="F440" s="41">
        <f t="shared" si="6"/>
        <v>1</v>
      </c>
      <c r="J440" s="139"/>
    </row>
    <row r="441" spans="1:10" ht="24.75">
      <c r="A441" s="134" t="s">
        <v>763</v>
      </c>
      <c r="B441" s="132" t="s">
        <v>2808</v>
      </c>
      <c r="C441" s="133" t="s">
        <v>2809</v>
      </c>
      <c r="D441" s="134" t="s">
        <v>763</v>
      </c>
      <c r="E441" s="133" t="s">
        <v>2810</v>
      </c>
      <c r="F441" s="41">
        <f t="shared" si="6"/>
        <v>1</v>
      </c>
      <c r="J441" s="139"/>
    </row>
    <row r="442" spans="1:10">
      <c r="A442" s="134" t="s">
        <v>744</v>
      </c>
      <c r="B442" s="132" t="s">
        <v>2811</v>
      </c>
      <c r="C442" s="133" t="s">
        <v>2812</v>
      </c>
      <c r="D442" s="134" t="s">
        <v>744</v>
      </c>
      <c r="E442" s="133" t="s">
        <v>2813</v>
      </c>
      <c r="F442" s="41">
        <f t="shared" si="6"/>
        <v>1</v>
      </c>
      <c r="J442" s="139"/>
    </row>
    <row r="443" spans="1:10">
      <c r="A443" s="134" t="s">
        <v>748</v>
      </c>
      <c r="B443" s="132" t="s">
        <v>2814</v>
      </c>
      <c r="C443" s="133" t="s">
        <v>2815</v>
      </c>
      <c r="D443" s="134" t="s">
        <v>748</v>
      </c>
      <c r="E443" s="133" t="s">
        <v>2816</v>
      </c>
      <c r="F443" s="41">
        <f t="shared" si="6"/>
        <v>1</v>
      </c>
      <c r="J443" s="139"/>
    </row>
    <row r="444" spans="1:10">
      <c r="A444" s="134" t="s">
        <v>752</v>
      </c>
      <c r="B444" s="132" t="s">
        <v>2817</v>
      </c>
      <c r="C444" s="133" t="s">
        <v>2818</v>
      </c>
      <c r="D444" s="134" t="s">
        <v>752</v>
      </c>
      <c r="E444" s="133" t="s">
        <v>2819</v>
      </c>
      <c r="F444" s="41">
        <f t="shared" si="6"/>
        <v>1</v>
      </c>
      <c r="J444" s="139"/>
    </row>
    <row r="445" spans="1:10">
      <c r="A445" s="134" t="s">
        <v>754</v>
      </c>
      <c r="B445" s="132" t="s">
        <v>2820</v>
      </c>
      <c r="C445" s="133" t="s">
        <v>2821</v>
      </c>
      <c r="D445" s="134" t="s">
        <v>754</v>
      </c>
      <c r="E445" s="133" t="s">
        <v>2822</v>
      </c>
      <c r="F445" s="41">
        <f t="shared" si="6"/>
        <v>1</v>
      </c>
      <c r="J445" s="139"/>
    </row>
    <row r="446" spans="1:10">
      <c r="A446" s="155">
        <v>314138001</v>
      </c>
      <c r="B446" s="132" t="s">
        <v>455</v>
      </c>
      <c r="C446" s="133" t="s">
        <v>2823</v>
      </c>
      <c r="D446" s="155">
        <v>314138001</v>
      </c>
      <c r="E446" s="133" t="s">
        <v>2824</v>
      </c>
      <c r="F446" s="41">
        <f t="shared" si="6"/>
        <v>1</v>
      </c>
    </row>
    <row r="447" spans="1:10">
      <c r="A447" s="155">
        <v>314137006</v>
      </c>
      <c r="B447" s="132" t="s">
        <v>497</v>
      </c>
      <c r="C447" s="133" t="s">
        <v>2825</v>
      </c>
      <c r="D447" s="155">
        <v>314137006</v>
      </c>
      <c r="E447" s="133" t="s">
        <v>2826</v>
      </c>
      <c r="F447" s="41">
        <f t="shared" si="6"/>
        <v>1</v>
      </c>
    </row>
  </sheetData>
  <hyperlinks>
    <hyperlink ref="J2" r:id="rId1" xr:uid="{71E41088-645B-41CF-8DCA-F579B1A20504}"/>
    <hyperlink ref="J3" r:id="rId2" xr:uid="{DCDF9C7A-8F42-47EE-A44D-DEEEB72B602F}"/>
    <hyperlink ref="J4" r:id="rId3" xr:uid="{A97AF205-CA0F-4E09-B3A7-43F4B0D41D5F}"/>
    <hyperlink ref="J5" r:id="rId4" xr:uid="{3FC54999-8A20-41C2-949F-188BA9F5E980}"/>
    <hyperlink ref="J6" r:id="rId5" xr:uid="{DA991AC2-E322-4EF0-ADC2-0D25A60B9558}"/>
    <hyperlink ref="J7" r:id="rId6" xr:uid="{9DA4094B-8154-4926-A614-65E0D51954A3}"/>
    <hyperlink ref="J8" r:id="rId7" xr:uid="{3AF5EF72-FDC6-4349-ABA0-40671607C5CB}"/>
    <hyperlink ref="J9" r:id="rId8" xr:uid="{23EE2778-078C-4A4C-9935-A8261732F415}"/>
    <hyperlink ref="J10" r:id="rId9" xr:uid="{06062DAD-242E-487A-B453-FF5956A08A78}"/>
    <hyperlink ref="J11" r:id="rId10" xr:uid="{0E898917-BE88-4825-A833-0B145247899B}"/>
    <hyperlink ref="J12" r:id="rId11" xr:uid="{71935C89-430E-42FC-9713-CBBEBE9CA658}"/>
    <hyperlink ref="J13" r:id="rId12" xr:uid="{CD3B612E-0C20-4DBA-B55C-555C63BF08BB}"/>
    <hyperlink ref="J14" r:id="rId13" xr:uid="{0AAB9018-7AB5-4CA9-B7D3-5D9CC20DD0E7}"/>
    <hyperlink ref="J15" r:id="rId14" xr:uid="{8EB770E5-E189-4E05-B435-7682BE5D4F67}"/>
    <hyperlink ref="J16" r:id="rId15" xr:uid="{8BDC0A6F-F6B4-40D9-9ABD-9B684E8ECDBA}"/>
    <hyperlink ref="J17" r:id="rId16" xr:uid="{3599387A-C50F-46D5-8F11-6C57803FE975}"/>
    <hyperlink ref="J18" r:id="rId17" xr:uid="{4CD8E494-2C73-49F1-A4A5-6B07819C4B07}"/>
    <hyperlink ref="J19" r:id="rId18" xr:uid="{5F1A7777-8D03-4AA0-910A-972B06368261}"/>
    <hyperlink ref="J20" r:id="rId19" xr:uid="{1E7E22AF-E815-4377-BEF7-A29044D4C742}"/>
    <hyperlink ref="J21" r:id="rId20" xr:uid="{324A3C83-4ED0-44A8-8FE0-F0B66D696DB3}"/>
    <hyperlink ref="J22" r:id="rId21" xr:uid="{2AC73EE4-9A0F-4724-880F-7C166F3EE66F}"/>
    <hyperlink ref="J23" r:id="rId22" xr:uid="{065A5B51-354E-490C-A4B7-54E9A007F4A7}"/>
    <hyperlink ref="J24" r:id="rId23" xr:uid="{56794E39-655F-4AFA-AF7A-18AB080D7E76}"/>
    <hyperlink ref="J25" r:id="rId24" xr:uid="{BC4103C0-1C05-49AE-84F5-CF233E1D45DB}"/>
    <hyperlink ref="J26" r:id="rId25" xr:uid="{42CCA7CC-D2A1-4CB0-A1AD-CA80399B4204}"/>
    <hyperlink ref="J27" r:id="rId26" xr:uid="{D5B3887A-F462-4616-9B75-CE32F7A48151}"/>
    <hyperlink ref="J28" r:id="rId27" xr:uid="{0648AD44-EAA5-45CC-9011-287A9211518A}"/>
    <hyperlink ref="J29" r:id="rId28" xr:uid="{A68CB3BD-7A5E-4332-ACC7-B3A41410CB70}"/>
    <hyperlink ref="J30" r:id="rId29" xr:uid="{55BEF323-44FF-4746-B0B0-951A7C48162B}"/>
    <hyperlink ref="J31" r:id="rId30" xr:uid="{E410DE64-87DE-4440-96E0-F2041E75D7EC}"/>
    <hyperlink ref="J32" r:id="rId31" xr:uid="{04F9098B-3874-4AC0-A55D-85EBC8607D27}"/>
    <hyperlink ref="J33" r:id="rId32" xr:uid="{0EAA127D-2745-4F41-BD34-510B0F85B11B}"/>
    <hyperlink ref="J34" r:id="rId33" xr:uid="{06674D58-0162-4664-BB4A-CA35D726101B}"/>
    <hyperlink ref="J35" r:id="rId34" xr:uid="{6F3395FD-946B-4C2E-9709-1C2953C6DAC3}"/>
    <hyperlink ref="J36" r:id="rId35" xr:uid="{22FC0DA1-5323-4DA7-87FB-20010F20D776}"/>
    <hyperlink ref="J37" r:id="rId36" xr:uid="{A9178994-5844-48B9-824A-53B3A3635883}"/>
    <hyperlink ref="J38" r:id="rId37" xr:uid="{A1BEE003-3C31-414D-A102-B245F3F89135}"/>
    <hyperlink ref="J39" r:id="rId38" xr:uid="{AFA50E7A-6F18-47F5-A652-31910D984E0E}"/>
    <hyperlink ref="J40" r:id="rId39" xr:uid="{A84CC99C-0272-49DA-A578-865D38F9371D}"/>
    <hyperlink ref="J41" r:id="rId40" xr:uid="{5BFEC109-0DF0-4289-B8BA-B2D246B3BFD9}"/>
    <hyperlink ref="J42" r:id="rId41" xr:uid="{C202330A-7A4A-47C0-85EB-3D0230E51EEE}"/>
    <hyperlink ref="J43" r:id="rId42" xr:uid="{293B7ED6-A4FE-4D4D-8062-22545B0DB54D}"/>
    <hyperlink ref="J44" r:id="rId43" xr:uid="{143A725D-EDA1-4836-BA47-E1E0204B9ECF}"/>
    <hyperlink ref="J45" r:id="rId44" xr:uid="{2EBB01E3-60E5-431E-BBDA-830FBD54B64C}"/>
    <hyperlink ref="J46" r:id="rId45" xr:uid="{376E9310-EB20-47F9-BF78-133037FEC7FB}"/>
    <hyperlink ref="J47" r:id="rId46" xr:uid="{69720A70-AEBE-4BB8-8797-B40113F68BC5}"/>
    <hyperlink ref="J48" r:id="rId47" xr:uid="{A21F6EF4-7EB1-4CF8-9D4C-8C5493F3026D}"/>
    <hyperlink ref="J49" r:id="rId48" xr:uid="{E3304628-328A-46FA-BE4E-0C17CDA018F2}"/>
    <hyperlink ref="J50" r:id="rId49" xr:uid="{44160F63-D17C-4851-A17E-BB481E020482}"/>
    <hyperlink ref="J51" r:id="rId50" xr:uid="{80F78206-747D-40B9-8F3D-964BBF2A0A6A}"/>
    <hyperlink ref="J52" r:id="rId51" xr:uid="{BEF67150-DA2C-40BF-BEF2-DCD3C8E54BC2}"/>
    <hyperlink ref="J53" r:id="rId52" xr:uid="{CDAC6F4F-9391-4E36-92EC-E9A8EBE93E40}"/>
    <hyperlink ref="J54" r:id="rId53" xr:uid="{DF3AB51D-C7DC-46FD-B1A9-630EF2C9F9BA}"/>
    <hyperlink ref="J55" r:id="rId54" xr:uid="{12A0B6D2-B351-467C-9CA2-B9E7EFDAE505}"/>
    <hyperlink ref="J56" r:id="rId55" xr:uid="{67005000-DDCB-41FA-82E1-8B5509F1BCD0}"/>
    <hyperlink ref="J57" r:id="rId56" xr:uid="{00B5C7FE-E51B-4EC9-B0F5-5359F0414E18}"/>
    <hyperlink ref="J58" r:id="rId57" xr:uid="{2865E89E-97D5-426F-A8B2-8046F9ACB722}"/>
    <hyperlink ref="J59" r:id="rId58" xr:uid="{57C4E798-B2CF-4DF9-A993-04E69CAF1F2B}"/>
    <hyperlink ref="J60" r:id="rId59" xr:uid="{222E60D1-F252-45B6-96B0-CC8A536587E9}"/>
    <hyperlink ref="J61" r:id="rId60" xr:uid="{26158958-A72D-44DB-ADF6-3691E97681C9}"/>
    <hyperlink ref="J62" r:id="rId61" xr:uid="{23DA4DF9-2918-46AC-9424-A4A2748BF1D4}"/>
    <hyperlink ref="J63" r:id="rId62" xr:uid="{E26BC2C0-CD49-49DB-B23D-A121ABEBAB54}"/>
    <hyperlink ref="J64" r:id="rId63" xr:uid="{63DBD43A-36EC-4DD8-A481-162E286E3E22}"/>
    <hyperlink ref="J65" r:id="rId64" xr:uid="{E8386BA6-B414-438A-A0BF-2F8E22D33BAF}"/>
    <hyperlink ref="J66" r:id="rId65" xr:uid="{CA3CAF91-66B6-4089-9161-7F4496009F6E}"/>
    <hyperlink ref="J67" r:id="rId66" xr:uid="{045F9A75-1556-496A-A90B-C5F1A28A373D}"/>
    <hyperlink ref="J68" r:id="rId67" xr:uid="{2B89D838-DEA1-4351-B322-A90EF72516DD}"/>
    <hyperlink ref="J69" r:id="rId68" xr:uid="{326B5A07-A709-4160-93E8-9289D55FD0F2}"/>
    <hyperlink ref="J70" r:id="rId69" xr:uid="{0EB12203-902D-4D25-A015-D9B5448F3B6E}"/>
    <hyperlink ref="J71" r:id="rId70" xr:uid="{A7BBFDA0-FF16-4F4A-B1F8-C1161C24E3F8}"/>
    <hyperlink ref="J72" r:id="rId71" xr:uid="{88720740-3EE9-409D-B420-BAB84BA44528}"/>
    <hyperlink ref="J73" r:id="rId72" xr:uid="{497D7CA8-1427-411B-BA44-07D98316F305}"/>
    <hyperlink ref="J74" r:id="rId73" xr:uid="{521A67F4-BB5B-448D-96C1-E238EE6CC5A8}"/>
    <hyperlink ref="J75" r:id="rId74" xr:uid="{DE85027C-54A9-4DC0-9A05-20C9924C62DD}"/>
    <hyperlink ref="J76" r:id="rId75" xr:uid="{2EE227D8-FB7A-400D-A9B7-66123FA65D5B}"/>
    <hyperlink ref="J77" r:id="rId76" xr:uid="{FC30C63C-7948-4C7D-A992-C9AEFECB2105}"/>
    <hyperlink ref="J78" r:id="rId77" xr:uid="{D9899CC5-4082-4045-8945-C220294F4148}"/>
    <hyperlink ref="J79" r:id="rId78" xr:uid="{857D797D-9371-471F-9ED4-EF0181F76960}"/>
    <hyperlink ref="J80" r:id="rId79" xr:uid="{99FDD565-E606-4968-B3DA-C863100C1A14}"/>
    <hyperlink ref="J81" r:id="rId80" xr:uid="{B370B63D-0D92-43EA-8C75-F6B9B7298220}"/>
    <hyperlink ref="J82" r:id="rId81" xr:uid="{C11103C1-9CE5-463D-BA9B-CAAACCD113B4}"/>
    <hyperlink ref="J83" r:id="rId82" xr:uid="{57483AA8-B993-46A6-98BB-8A7C245F70BD}"/>
    <hyperlink ref="J84" r:id="rId83" xr:uid="{34E18016-124F-4835-9EFE-233A1CBA127A}"/>
    <hyperlink ref="J85" r:id="rId84" xr:uid="{8808CB38-E99E-4731-8EDC-BD6BE5D85392}"/>
    <hyperlink ref="J86" r:id="rId85" xr:uid="{F7AF226F-095F-4867-B861-4350E14C720F}"/>
    <hyperlink ref="J87" r:id="rId86" xr:uid="{51FF5C57-E247-4AAA-9418-01579B7D5E49}"/>
    <hyperlink ref="J88" r:id="rId87" xr:uid="{F7655268-0D15-4DFB-8C85-C72DF87A3CB1}"/>
    <hyperlink ref="J89" r:id="rId88" xr:uid="{4B24199F-DCEE-4531-9233-1F2378CE0A20}"/>
    <hyperlink ref="J90" r:id="rId89" xr:uid="{1E1EFCA7-4ABE-40A0-BA4C-00AF0A3B7F10}"/>
    <hyperlink ref="J91" r:id="rId90" xr:uid="{57D3C607-E2B1-4957-953C-ACFD522D564B}"/>
    <hyperlink ref="J92" r:id="rId91" xr:uid="{D70E4DE4-2236-4C31-BDBF-FD142764F4F6}"/>
    <hyperlink ref="J93" r:id="rId92" xr:uid="{AB890595-6776-40A8-963E-C7CFD979F72F}"/>
    <hyperlink ref="J94" r:id="rId93" xr:uid="{FCE85F2F-25B0-4636-89F7-433647FED22F}"/>
    <hyperlink ref="J95" r:id="rId94" xr:uid="{41E2B82F-C5EA-4671-87EC-9B633CFA70BB}"/>
    <hyperlink ref="J96" r:id="rId95" xr:uid="{2BE3BE14-ED07-45A2-9079-97729E53C29C}"/>
    <hyperlink ref="J97" r:id="rId96" xr:uid="{09657D7B-B852-4790-8C46-80F71423C294}"/>
    <hyperlink ref="J98" r:id="rId97" xr:uid="{4F2B74F5-002D-4A59-87DA-374E42825F4C}"/>
    <hyperlink ref="J99" r:id="rId98" xr:uid="{A22B56A7-3704-4F83-BBAA-116CF8301B4E}"/>
    <hyperlink ref="J100" r:id="rId99" xr:uid="{AB713ED7-D41C-420D-A6E7-59B5133299F2}"/>
    <hyperlink ref="J101" r:id="rId100" xr:uid="{1491B50F-A2C0-47DC-B736-A2C26490B885}"/>
    <hyperlink ref="J102" r:id="rId101" xr:uid="{28070E36-242B-48E4-81E5-112901027D14}"/>
    <hyperlink ref="J103" r:id="rId102" xr:uid="{619C9004-A272-4139-ACD2-FC841B08EA5F}"/>
    <hyperlink ref="J104" r:id="rId103" xr:uid="{BA5EFE92-C287-4EA4-9521-6C314644C455}"/>
    <hyperlink ref="J105" r:id="rId104" xr:uid="{E3DC26FB-A359-4857-BFEC-7D85E08DA6F2}"/>
    <hyperlink ref="J106" r:id="rId105" xr:uid="{1DD43858-906C-4081-B944-A51A0D57EDBE}"/>
    <hyperlink ref="J107" r:id="rId106" xr:uid="{5193AA98-A6CC-425F-A781-1557F12686C7}"/>
    <hyperlink ref="J108" r:id="rId107" xr:uid="{5DA2CB9E-1C2F-4283-AF77-1FA209AFA9C2}"/>
    <hyperlink ref="J109" r:id="rId108" xr:uid="{2CF01A2E-B2D1-48F8-9F35-56ED8878EC2A}"/>
    <hyperlink ref="J110" r:id="rId109" xr:uid="{F41D67A1-F2FE-4C05-AEC0-E5A838E151F0}"/>
    <hyperlink ref="J111" r:id="rId110" xr:uid="{9A4BB45D-BFFF-4B42-9382-D97608B1D526}"/>
    <hyperlink ref="J112" r:id="rId111" xr:uid="{732EC8E6-6834-4D13-ABD3-370C017AC5AD}"/>
    <hyperlink ref="J113" r:id="rId112" xr:uid="{0256AAD9-2BA4-40E3-8647-44CAA36AB215}"/>
    <hyperlink ref="J114" r:id="rId113" xr:uid="{2463CAF3-4F1E-41A1-81C2-31AC95DCB099}"/>
    <hyperlink ref="J115" r:id="rId114" xr:uid="{DF8F9A87-889E-44C7-B271-FEF0435C44F2}"/>
    <hyperlink ref="J116" r:id="rId115" xr:uid="{50854E7D-ADC4-47FF-9D16-3CC179EA68F9}"/>
    <hyperlink ref="J117" r:id="rId116" xr:uid="{12FB2FD4-85F1-4079-ADC0-71044F40A8F9}"/>
    <hyperlink ref="J118" r:id="rId117" xr:uid="{58B09CA4-1921-4C71-ACDB-179A2A0FF12E}"/>
    <hyperlink ref="J119" r:id="rId118" xr:uid="{755182C1-4065-4E39-A032-5DE9F840ED2C}"/>
    <hyperlink ref="J120" r:id="rId119" xr:uid="{5B523254-E10F-4F33-AA02-978839BFD24F}"/>
    <hyperlink ref="J121" r:id="rId120" xr:uid="{2B5BA95A-51DA-442F-9393-F2CBAEDE8445}"/>
    <hyperlink ref="J122" r:id="rId121" xr:uid="{DAD97E37-96C5-4530-9A55-40CA437BA552}"/>
    <hyperlink ref="J123" r:id="rId122" xr:uid="{1004DABB-A889-48D1-BA7B-35CFCB5E1788}"/>
    <hyperlink ref="J124" r:id="rId123" xr:uid="{61092968-F3B4-4B18-9B64-E16E69C2233F}"/>
    <hyperlink ref="J125" r:id="rId124" xr:uid="{BE220D6C-19D5-4204-A0DC-DB8E532796FA}"/>
    <hyperlink ref="J126" r:id="rId125" xr:uid="{1AA94764-AC80-429F-A56B-5E06009413F5}"/>
    <hyperlink ref="J127" r:id="rId126" xr:uid="{A5768D4E-CA46-4353-B59D-44064E8E98F5}"/>
    <hyperlink ref="J128" r:id="rId127" xr:uid="{5C27E9B3-82D9-4C44-A33F-AD25A18FB39C}"/>
    <hyperlink ref="J129" r:id="rId128" xr:uid="{8394E59D-81C0-4D1D-96D9-7E0EDF6CBC31}"/>
    <hyperlink ref="J130" r:id="rId129" xr:uid="{5939B531-939D-4A64-8AC4-AB5B0C794226}"/>
    <hyperlink ref="J131" r:id="rId130" xr:uid="{8E75B1B2-98DA-4F14-A560-07966F6E6ADA}"/>
    <hyperlink ref="J132" r:id="rId131" xr:uid="{607D5085-4846-454C-9D07-C2ECEB635812}"/>
    <hyperlink ref="J133" r:id="rId132" xr:uid="{669BEF0D-41E5-4135-85BF-A7D5B5330994}"/>
    <hyperlink ref="J134" r:id="rId133" xr:uid="{32441916-23D7-4A28-ACFD-2F867F6116EF}"/>
    <hyperlink ref="J135" r:id="rId134" xr:uid="{F2E7BA2D-4A06-46E6-A214-1F51FAA176E9}"/>
    <hyperlink ref="J136" r:id="rId135" xr:uid="{DE4BD2F0-BD6A-45BA-B047-62A03FD5D172}"/>
    <hyperlink ref="J137" r:id="rId136" xr:uid="{4CA622E4-43DB-4A4B-A3DB-DB4C537880EF}"/>
    <hyperlink ref="J138" r:id="rId137" xr:uid="{BB08FAC9-5590-4775-AD52-1E9BFF721505}"/>
    <hyperlink ref="J139" r:id="rId138" xr:uid="{4C3905B9-6742-4DE0-8DDD-A3E37FBD0931}"/>
    <hyperlink ref="J140" r:id="rId139" xr:uid="{304627D1-8EB2-4750-8A82-84F7A471242C}"/>
    <hyperlink ref="J141" r:id="rId140" xr:uid="{A8922607-1587-4FE6-A8F1-BB428C816FE5}"/>
    <hyperlink ref="J142" r:id="rId141" xr:uid="{D5CDDE3B-2A5A-464B-A67C-D1FC0348A23A}"/>
    <hyperlink ref="J143" r:id="rId142" xr:uid="{B4093FCB-6DAF-48B3-B0DF-C69466928FB8}"/>
    <hyperlink ref="J144" r:id="rId143" xr:uid="{448D062E-53E9-41B3-A27F-EB9E4DFF44C6}"/>
    <hyperlink ref="J145" r:id="rId144" xr:uid="{EDF9CF83-6CC6-4881-99B1-56F469D1B155}"/>
    <hyperlink ref="J146" r:id="rId145" xr:uid="{26D0F6FE-DB8E-4B6D-B1A6-9F228C21D9C2}"/>
    <hyperlink ref="J147" r:id="rId146" xr:uid="{D42418EF-7FA2-495D-BBDC-03BEB0BA0017}"/>
    <hyperlink ref="J148" r:id="rId147" xr:uid="{06B8C060-306A-451F-9D01-2F4136376F66}"/>
    <hyperlink ref="J149" r:id="rId148" xr:uid="{67F53C19-0E32-4B54-8392-C520D57A7344}"/>
    <hyperlink ref="J150" r:id="rId149" xr:uid="{26BB66DD-D78A-417A-B671-CE2CAF4C7710}"/>
    <hyperlink ref="J151" r:id="rId150" xr:uid="{F44B18EE-5FDD-4D8C-A5EC-256F8F26FFD9}"/>
    <hyperlink ref="J152" r:id="rId151" xr:uid="{A30098A3-E7A2-4F42-AC2C-CA912D29836A}"/>
    <hyperlink ref="J153" r:id="rId152" xr:uid="{28D3A414-4038-4581-9809-4AE45D3E4796}"/>
    <hyperlink ref="J154" r:id="rId153" xr:uid="{697A5555-BF4A-4F3A-B9D0-1EA9013DF7BD}"/>
    <hyperlink ref="J155" r:id="rId154" xr:uid="{9EB19889-EE6D-4DD1-A385-A50B09999603}"/>
    <hyperlink ref="J156" r:id="rId155" xr:uid="{1C4DA210-6532-4031-B462-86533DCD014D}"/>
    <hyperlink ref="J157" r:id="rId156" xr:uid="{E007FC7C-CEF0-4BB8-A73A-39D66B51348F}"/>
    <hyperlink ref="J158" r:id="rId157" xr:uid="{6D162080-7010-4DC5-91D9-9751478C75BD}"/>
    <hyperlink ref="J159" r:id="rId158" xr:uid="{7EDEE177-D093-42CC-A14E-C8504ACAB1FD}"/>
    <hyperlink ref="J160" r:id="rId159" xr:uid="{061791AB-7C37-42EC-B8A3-2F75A4F23843}"/>
    <hyperlink ref="J161" r:id="rId160" xr:uid="{FCE7AF77-F106-456B-A8D3-482D73560A2A}"/>
    <hyperlink ref="J162" r:id="rId161" xr:uid="{5209F6B7-8BFF-46B0-B40A-1EAA0455AB38}"/>
    <hyperlink ref="J163" r:id="rId162" xr:uid="{0C1F9D63-BE02-4147-849D-1739C7E68363}"/>
    <hyperlink ref="J164" r:id="rId163" xr:uid="{44FF0587-4F85-4823-86EE-D23AEDE3E05E}"/>
    <hyperlink ref="J165" r:id="rId164" xr:uid="{C6CC5E17-5FBD-4D2D-B75A-A8D29A2A3908}"/>
    <hyperlink ref="J166" r:id="rId165" xr:uid="{218994D3-8DC7-494D-9C9A-7DF08497E1D7}"/>
    <hyperlink ref="J167" r:id="rId166" xr:uid="{10762711-1B58-42EB-93B1-1A508D46FAEF}"/>
    <hyperlink ref="J168" r:id="rId167" xr:uid="{CA76C944-9175-46CE-B2E9-518373958708}"/>
    <hyperlink ref="J169" r:id="rId168" xr:uid="{53791C6D-15BD-4F1E-A514-2E30B2094BD2}"/>
    <hyperlink ref="J170" r:id="rId169" xr:uid="{A82CC63B-9ACC-4041-9DC4-9BC0415EFBF3}"/>
    <hyperlink ref="J171" r:id="rId170" xr:uid="{783D2931-D429-4076-8566-6AC05BC7C42B}"/>
    <hyperlink ref="J172" r:id="rId171" xr:uid="{36961C43-DE64-482E-8728-6AF42631D6FF}"/>
    <hyperlink ref="J173" r:id="rId172" xr:uid="{92680142-17F0-4AFA-BB27-747CA4C08346}"/>
    <hyperlink ref="J174" r:id="rId173" xr:uid="{3941276B-BD2D-463E-99E5-1914D811026D}"/>
    <hyperlink ref="J175" r:id="rId174" xr:uid="{8C83368A-8139-4723-A4B9-F461523C944B}"/>
    <hyperlink ref="J176" r:id="rId175" xr:uid="{78B666FD-203A-4E4C-9979-2FA614923493}"/>
    <hyperlink ref="J177" r:id="rId176" xr:uid="{201E8621-F061-454A-85E0-58D2A823237D}"/>
    <hyperlink ref="J178" r:id="rId177" xr:uid="{995D60E3-528A-400E-BA37-94458B0F609B}"/>
    <hyperlink ref="J179" r:id="rId178" xr:uid="{CBBECF5D-5F63-4D06-B56F-B8AB92FB1C7E}"/>
    <hyperlink ref="J180" r:id="rId179" xr:uid="{02CE8BEB-E6EB-46B5-B5A0-7D29075E495C}"/>
    <hyperlink ref="J181" r:id="rId180" xr:uid="{CCB90A22-ED59-45E5-A52D-437B8B232CF1}"/>
    <hyperlink ref="J182" r:id="rId181" xr:uid="{536A832A-BD65-4BBA-BB3C-2B5F8BA0EBDE}"/>
    <hyperlink ref="J183" r:id="rId182" xr:uid="{8ACD19FA-6226-4630-B3D0-29D0A030F762}"/>
    <hyperlink ref="J184" r:id="rId183" xr:uid="{F2599A42-06CA-48A1-AAFC-BE0393D3A2D5}"/>
    <hyperlink ref="J185" r:id="rId184" xr:uid="{EE201BAC-6127-4B49-B119-CF4F985086E4}"/>
    <hyperlink ref="J186" r:id="rId185" xr:uid="{49B7920E-0BA1-4640-8AFF-7642A47D992C}"/>
    <hyperlink ref="J187" r:id="rId186" xr:uid="{56CA8D0A-35EB-4DA9-9361-D89448838A35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375DA5-64BF-47CC-B61E-442317976512}">
  <dimension ref="A1:I68"/>
  <sheetViews>
    <sheetView workbookViewId="0">
      <selection activeCell="F1" sqref="F1"/>
    </sheetView>
  </sheetViews>
  <sheetFormatPr defaultRowHeight="15"/>
  <cols>
    <col min="1" max="1" width="26.5703125" customWidth="1"/>
    <col min="2" max="2" width="58.140625" customWidth="1"/>
    <col min="3" max="3" width="42.42578125" customWidth="1"/>
    <col min="4" max="4" width="52" customWidth="1"/>
    <col min="5" max="5" width="52.140625" customWidth="1"/>
    <col min="6" max="6" width="63" customWidth="1"/>
    <col min="7" max="7" width="46.85546875" customWidth="1"/>
    <col min="8" max="8" width="40.7109375" customWidth="1"/>
    <col min="9" max="9" width="23" customWidth="1"/>
  </cols>
  <sheetData>
    <row r="1" spans="1:9" ht="18.75">
      <c r="B1" s="3" t="s">
        <v>2827</v>
      </c>
      <c r="H1" s="92"/>
    </row>
    <row r="2" spans="1:9">
      <c r="A2" t="s">
        <v>2828</v>
      </c>
      <c r="B2" t="s">
        <v>2829</v>
      </c>
      <c r="C2" t="s">
        <v>2830</v>
      </c>
      <c r="D2" t="s">
        <v>2831</v>
      </c>
      <c r="E2" s="38" t="str" cm="1">
        <f t="array" ref="E2">RIGHT(LEFT(cpr,6),2)</f>
        <v>98</v>
      </c>
    </row>
    <row r="3" spans="1:9">
      <c r="A3" t="s">
        <v>2832</v>
      </c>
      <c r="B3" t="s">
        <v>2833</v>
      </c>
      <c r="C3" t="s">
        <v>2834</v>
      </c>
      <c r="E3" s="38" t="str" cm="1">
        <f t="array" ref="E3">RIGHT(LEFT(cpr,4),2)</f>
        <v>34</v>
      </c>
      <c r="H3" s="1"/>
    </row>
    <row r="4" spans="1:9">
      <c r="A4" t="s">
        <v>2835</v>
      </c>
      <c r="B4" s="35">
        <f ca="1">TODAY()</f>
        <v>45933</v>
      </c>
      <c r="C4" s="35">
        <f ca="1">TODAY()</f>
        <v>45933</v>
      </c>
      <c r="E4" s="38" t="str" cm="1">
        <f t="array" ref="E4">RIGHT(LEFT(cpr,2),2)</f>
        <v>12</v>
      </c>
      <c r="I4" s="85"/>
    </row>
    <row r="5" spans="1:9">
      <c r="E5" s="38">
        <f>IF(E2&gt;50,19,20)</f>
        <v>19</v>
      </c>
      <c r="I5" s="38"/>
    </row>
    <row r="6" spans="1:9">
      <c r="A6" s="86" t="s">
        <v>2836</v>
      </c>
      <c r="E6" s="38" t="str">
        <f>CONCATENATE(E5,E2)</f>
        <v>1998</v>
      </c>
      <c r="I6" s="38"/>
    </row>
    <row r="7" spans="1:9">
      <c r="A7" s="86" t="s">
        <v>2837</v>
      </c>
      <c r="I7" s="38"/>
    </row>
    <row r="8" spans="1:9">
      <c r="A8" s="86" t="s">
        <v>2838</v>
      </c>
      <c r="D8" t="str" cm="1">
        <f t="array" ref="D8">fornavn</f>
        <v>Nomina</v>
      </c>
      <c r="I8" s="38"/>
    </row>
    <row r="9" spans="1:9">
      <c r="I9" s="38"/>
    </row>
    <row r="10" spans="1:9">
      <c r="A10" t="s">
        <v>2839</v>
      </c>
      <c r="I10" s="38"/>
    </row>
    <row r="11" spans="1:9" ht="21">
      <c r="B11" s="91" t="s">
        <v>2840</v>
      </c>
      <c r="C11" s="91" t="s">
        <v>2841</v>
      </c>
      <c r="D11" s="91" t="s">
        <v>394</v>
      </c>
      <c r="E11" s="91" t="s">
        <v>395</v>
      </c>
      <c r="F11" s="91" t="s">
        <v>396</v>
      </c>
      <c r="I11" s="38"/>
    </row>
    <row r="12" spans="1:9">
      <c r="B12" s="87" t="s">
        <v>2842</v>
      </c>
      <c r="C12" s="87" t="s">
        <v>2842</v>
      </c>
      <c r="D12" s="87" t="s">
        <v>2842</v>
      </c>
      <c r="E12" s="87" t="s">
        <v>2842</v>
      </c>
      <c r="F12" s="87" t="s">
        <v>2842</v>
      </c>
      <c r="I12" s="38"/>
    </row>
    <row r="13" spans="1:9">
      <c r="A13" t="s">
        <v>2843</v>
      </c>
      <c r="B13" t="s">
        <v>2844</v>
      </c>
      <c r="C13" t="s">
        <v>2844</v>
      </c>
      <c r="D13" t="s">
        <v>2844</v>
      </c>
      <c r="E13" t="s">
        <v>2844</v>
      </c>
      <c r="F13" t="s">
        <v>2844</v>
      </c>
      <c r="I13" s="38"/>
    </row>
    <row r="14" spans="1:9">
      <c r="A14" t="s">
        <v>2845</v>
      </c>
      <c r="B14" t="str" cm="1">
        <f t="array" ref="B14">CONCATENATE("Pregnancy Shared Care Record for ",cpr)</f>
        <v>Pregnancy Shared Care Record for 123498-1234</v>
      </c>
      <c r="C14" t="str" cm="1">
        <f t="array" ref="C14">CONCATENATE("Pregnancy Shared Care Record for ",cpr)</f>
        <v>Pregnancy Shared Care Record for 123498-1234</v>
      </c>
      <c r="D14" t="str" cm="1">
        <f t="array" ref="D14">CONCATENATE("Pregnancy Shared Care Record for ",cpr)</f>
        <v>Pregnancy Shared Care Record for 123498-1234</v>
      </c>
      <c r="E14" t="str" cm="1">
        <f t="array" ref="E14">CONCATENATE("Pregnancy Shared Care Record for ",cpr)</f>
        <v>Pregnancy Shared Care Record for 123498-1234</v>
      </c>
      <c r="F14" t="str" cm="1">
        <f t="array" ref="F14">CONCATENATE("Pregnancy Shared Care Record for ",cpr)</f>
        <v>Pregnancy Shared Care Record for 123498-1234</v>
      </c>
    </row>
    <row r="15" spans="1:9">
      <c r="A15" t="s">
        <v>2846</v>
      </c>
      <c r="B15" t="s">
        <v>2847</v>
      </c>
      <c r="C15" t="s">
        <v>2847</v>
      </c>
      <c r="D15" t="s">
        <v>2847</v>
      </c>
      <c r="E15" t="s">
        <v>2847</v>
      </c>
      <c r="F15" t="s">
        <v>2847</v>
      </c>
      <c r="H15" s="1"/>
    </row>
    <row r="16" spans="1:9">
      <c r="B16" s="87" t="s">
        <v>2848</v>
      </c>
      <c r="C16" s="87" t="s">
        <v>2848</v>
      </c>
      <c r="D16" s="87" t="s">
        <v>2848</v>
      </c>
      <c r="E16" s="87" t="s">
        <v>2848</v>
      </c>
      <c r="F16" s="87" t="s">
        <v>2848</v>
      </c>
      <c r="I16" s="38"/>
    </row>
    <row r="17" spans="1:9">
      <c r="A17" t="s">
        <v>2849</v>
      </c>
      <c r="B17" t="s">
        <v>2850</v>
      </c>
      <c r="C17" t="s">
        <v>2850</v>
      </c>
      <c r="D17" t="s">
        <v>2850</v>
      </c>
      <c r="E17" t="s">
        <v>2850</v>
      </c>
      <c r="F17" t="s">
        <v>2850</v>
      </c>
      <c r="I17" s="38"/>
    </row>
    <row r="18" spans="1:9">
      <c r="B18" s="88" t="s">
        <v>2851</v>
      </c>
      <c r="D18" s="88" t="s">
        <v>2851</v>
      </c>
      <c r="I18" s="38"/>
    </row>
    <row r="19" spans="1:9">
      <c r="A19" t="s">
        <v>2852</v>
      </c>
      <c r="B19" t="str" cm="1">
        <f t="array" ref="B19">cpr</f>
        <v>123498-1234</v>
      </c>
      <c r="C19" t="str" cm="1">
        <f t="array" ref="C19">cpr</f>
        <v>123498-1234</v>
      </c>
      <c r="D19" t="str" cm="1">
        <f t="array" ref="D19">cpr</f>
        <v>123498-1234</v>
      </c>
      <c r="E19" t="str" cm="1">
        <f t="array" ref="E19">cpr</f>
        <v>123498-1234</v>
      </c>
      <c r="F19" t="str" cm="1">
        <f t="array" ref="F19">cpr</f>
        <v>123498-1234</v>
      </c>
      <c r="I19" s="38"/>
    </row>
    <row r="20" spans="1:9">
      <c r="B20" s="88" t="s">
        <v>2853</v>
      </c>
      <c r="C20" s="88" t="s">
        <v>2853</v>
      </c>
      <c r="D20" s="88" t="s">
        <v>2853</v>
      </c>
      <c r="E20" s="88" t="s">
        <v>2853</v>
      </c>
      <c r="F20" s="88" t="s">
        <v>2853</v>
      </c>
      <c r="I20" s="38"/>
    </row>
    <row r="21" spans="1:9">
      <c r="A21" t="s">
        <v>2854</v>
      </c>
      <c r="B21" s="97" t="s">
        <v>2855</v>
      </c>
      <c r="C21" t="str">
        <f>B21</f>
        <v>Mosegårdsparken 92</v>
      </c>
      <c r="D21" t="str">
        <f>B21</f>
        <v>Mosegårdsparken 92</v>
      </c>
      <c r="E21" t="str">
        <f>B21</f>
        <v>Mosegårdsparken 92</v>
      </c>
      <c r="F21" t="str">
        <f>C21</f>
        <v>Mosegårdsparken 92</v>
      </c>
      <c r="I21" s="38"/>
    </row>
    <row r="22" spans="1:9">
      <c r="A22" t="s">
        <v>2856</v>
      </c>
      <c r="B22" s="98">
        <v>6621</v>
      </c>
      <c r="C22" s="38">
        <f t="shared" ref="C22:C27" si="0">B22</f>
        <v>6621</v>
      </c>
      <c r="D22" s="38">
        <f t="shared" ref="D22:D27" si="1">B22</f>
        <v>6621</v>
      </c>
      <c r="E22" s="38">
        <f t="shared" ref="E22:F27" si="2">B22</f>
        <v>6621</v>
      </c>
      <c r="F22" s="38">
        <f t="shared" si="2"/>
        <v>6621</v>
      </c>
      <c r="I22" s="38"/>
    </row>
    <row r="23" spans="1:9">
      <c r="A23" t="s">
        <v>2857</v>
      </c>
      <c r="B23" s="97" t="s">
        <v>2858</v>
      </c>
      <c r="C23" s="38" t="str">
        <f t="shared" si="0"/>
        <v>København</v>
      </c>
      <c r="D23" s="38" t="str">
        <f t="shared" si="1"/>
        <v>København</v>
      </c>
      <c r="E23" s="38" t="str">
        <f t="shared" si="2"/>
        <v>København</v>
      </c>
      <c r="F23" s="38" t="str">
        <f t="shared" si="2"/>
        <v>København</v>
      </c>
    </row>
    <row r="24" spans="1:9">
      <c r="A24" t="s">
        <v>2859</v>
      </c>
      <c r="B24" s="38" t="str" cm="1">
        <f t="array" ref="B24">fornavn</f>
        <v>Nomina</v>
      </c>
      <c r="C24" t="str">
        <f t="shared" si="0"/>
        <v>Nomina</v>
      </c>
      <c r="D24" t="str">
        <f t="shared" si="1"/>
        <v>Nomina</v>
      </c>
      <c r="E24" t="str">
        <f t="shared" si="2"/>
        <v>Nomina</v>
      </c>
      <c r="F24" t="str">
        <f t="shared" si="2"/>
        <v>Nomina</v>
      </c>
    </row>
    <row r="25" spans="1:9">
      <c r="A25" t="s">
        <v>2859</v>
      </c>
      <c r="B25" s="38" t="str" cm="1">
        <f t="array" ref="B25">mellemnavn</f>
        <v>Medius</v>
      </c>
      <c r="C25" t="str">
        <f t="shared" si="0"/>
        <v>Medius</v>
      </c>
      <c r="D25" t="str">
        <f t="shared" si="1"/>
        <v>Medius</v>
      </c>
      <c r="E25" t="str">
        <f t="shared" si="2"/>
        <v>Medius</v>
      </c>
      <c r="F25" t="str">
        <f t="shared" si="2"/>
        <v>Medius</v>
      </c>
      <c r="H25" s="1"/>
    </row>
    <row r="26" spans="1:9">
      <c r="A26" t="s">
        <v>2860</v>
      </c>
      <c r="B26" s="38" t="str" cm="1">
        <f t="array" ref="B26">efternavn</f>
        <v>Suffix</v>
      </c>
      <c r="C26" t="str">
        <f t="shared" si="0"/>
        <v>Suffix</v>
      </c>
      <c r="D26" t="str">
        <f t="shared" si="1"/>
        <v>Suffix</v>
      </c>
      <c r="E26" t="str">
        <f t="shared" si="2"/>
        <v>Suffix</v>
      </c>
      <c r="F26" t="str">
        <f t="shared" si="2"/>
        <v>Suffix</v>
      </c>
      <c r="I26" s="41"/>
    </row>
    <row r="27" spans="1:9">
      <c r="A27" t="s">
        <v>2861</v>
      </c>
      <c r="B27" t="str">
        <f>CONCATENATE($E$6,$E$3,$E$4,"000000+0200")</f>
        <v>19983412000000+0200</v>
      </c>
      <c r="C27" t="str">
        <f t="shared" si="0"/>
        <v>19983412000000+0200</v>
      </c>
      <c r="D27" t="str">
        <f t="shared" si="1"/>
        <v>19983412000000+0200</v>
      </c>
      <c r="E27" t="str">
        <f t="shared" si="2"/>
        <v>19983412000000+0200</v>
      </c>
      <c r="F27" t="str">
        <f t="shared" si="2"/>
        <v>19983412000000+0200</v>
      </c>
    </row>
    <row r="28" spans="1:9">
      <c r="B28" s="89" t="s">
        <v>2862</v>
      </c>
      <c r="C28" s="89" t="s">
        <v>2862</v>
      </c>
      <c r="D28" s="89" t="s">
        <v>2862</v>
      </c>
      <c r="E28" s="89" t="s">
        <v>2862</v>
      </c>
      <c r="F28" s="89" t="s">
        <v>2862</v>
      </c>
    </row>
    <row r="29" spans="1:9">
      <c r="A29" t="s">
        <v>2863</v>
      </c>
      <c r="B29" s="41" t="s">
        <v>2864</v>
      </c>
      <c r="C29" s="41" t="s">
        <v>2864</v>
      </c>
      <c r="D29" s="41" t="s">
        <v>2864</v>
      </c>
      <c r="E29" s="41" t="s">
        <v>2864</v>
      </c>
      <c r="F29" s="41" t="s">
        <v>2864</v>
      </c>
    </row>
    <row r="30" spans="1:9">
      <c r="A30" t="s">
        <v>2865</v>
      </c>
      <c r="B30" t="s">
        <v>2866</v>
      </c>
      <c r="C30" t="s">
        <v>2866</v>
      </c>
      <c r="D30" t="s">
        <v>2866</v>
      </c>
      <c r="E30" t="s">
        <v>2866</v>
      </c>
      <c r="F30" t="s">
        <v>2866</v>
      </c>
    </row>
    <row r="31" spans="1:9">
      <c r="B31" s="88" t="s">
        <v>2867</v>
      </c>
      <c r="D31" s="88" t="s">
        <v>2867</v>
      </c>
      <c r="E31" s="88" t="s">
        <v>2867</v>
      </c>
      <c r="I31" s="38"/>
    </row>
    <row r="32" spans="1:9">
      <c r="A32" t="s">
        <v>2863</v>
      </c>
      <c r="B32" s="41" t="s">
        <v>2868</v>
      </c>
      <c r="C32" t="s">
        <v>2869</v>
      </c>
      <c r="D32" s="41" t="s">
        <v>2870</v>
      </c>
      <c r="E32" s="41" t="s">
        <v>2871</v>
      </c>
      <c r="F32" s="41" t="s">
        <v>2872</v>
      </c>
      <c r="I32" s="38"/>
    </row>
    <row r="33" spans="1:9">
      <c r="A33" t="s">
        <v>2873</v>
      </c>
      <c r="B33" t="s">
        <v>383</v>
      </c>
      <c r="C33" t="s">
        <v>385</v>
      </c>
      <c r="D33" t="s">
        <v>394</v>
      </c>
      <c r="E33" t="s">
        <v>383</v>
      </c>
      <c r="F33" t="s">
        <v>396</v>
      </c>
      <c r="I33" s="38"/>
    </row>
    <row r="34" spans="1:9">
      <c r="A34" t="s">
        <v>2859</v>
      </c>
      <c r="B34" t="s">
        <v>2874</v>
      </c>
      <c r="C34" t="s">
        <v>2875</v>
      </c>
      <c r="D34" t="s">
        <v>2876</v>
      </c>
      <c r="E34" t="s">
        <v>2877</v>
      </c>
      <c r="F34" t="s">
        <v>2878</v>
      </c>
      <c r="I34" s="38"/>
    </row>
    <row r="35" spans="1:9">
      <c r="A35" t="s">
        <v>2860</v>
      </c>
      <c r="B35" t="s">
        <v>2879</v>
      </c>
      <c r="C35" t="s">
        <v>2880</v>
      </c>
      <c r="D35" t="s">
        <v>2881</v>
      </c>
      <c r="E35" t="s">
        <v>2882</v>
      </c>
      <c r="F35" t="s">
        <v>2883</v>
      </c>
      <c r="I35" s="41"/>
    </row>
    <row r="36" spans="1:9">
      <c r="B36" s="90" t="s">
        <v>2884</v>
      </c>
      <c r="C36" s="90" t="s">
        <v>2884</v>
      </c>
      <c r="D36" s="90" t="s">
        <v>2884</v>
      </c>
      <c r="E36" s="90" t="s">
        <v>2884</v>
      </c>
      <c r="F36" s="90" t="s">
        <v>2884</v>
      </c>
    </row>
    <row r="37" spans="1:9">
      <c r="A37" t="s">
        <v>2865</v>
      </c>
      <c r="B37" t="s">
        <v>2866</v>
      </c>
      <c r="C37" t="s">
        <v>2885</v>
      </c>
      <c r="D37" t="s">
        <v>2886</v>
      </c>
      <c r="E37" t="s">
        <v>2887</v>
      </c>
      <c r="F37" t="s">
        <v>2888</v>
      </c>
    </row>
    <row r="38" spans="1:9">
      <c r="A38" t="s">
        <v>2854</v>
      </c>
      <c r="B38" s="38" t="s">
        <v>2889</v>
      </c>
      <c r="C38" t="s">
        <v>2890</v>
      </c>
      <c r="D38" t="s">
        <v>2891</v>
      </c>
      <c r="E38" t="s">
        <v>2892</v>
      </c>
      <c r="F38" t="s">
        <v>2892</v>
      </c>
      <c r="H38" s="1"/>
    </row>
    <row r="39" spans="1:9">
      <c r="A39" t="s">
        <v>2854</v>
      </c>
      <c r="B39" s="38" t="s">
        <v>2893</v>
      </c>
      <c r="C39" t="s">
        <v>2885</v>
      </c>
      <c r="H39" s="41"/>
      <c r="I39" s="41"/>
    </row>
    <row r="40" spans="1:9">
      <c r="A40" t="s">
        <v>2856</v>
      </c>
      <c r="B40" s="38">
        <v>2640</v>
      </c>
      <c r="C40" s="38">
        <v>8600</v>
      </c>
      <c r="D40" s="38">
        <v>2300</v>
      </c>
      <c r="E40" s="38">
        <v>2100</v>
      </c>
      <c r="F40" s="38">
        <v>210</v>
      </c>
    </row>
    <row r="41" spans="1:9">
      <c r="A41" t="s">
        <v>2857</v>
      </c>
      <c r="B41" s="38" t="s">
        <v>2894</v>
      </c>
      <c r="C41" t="s">
        <v>2895</v>
      </c>
      <c r="D41" t="s">
        <v>2896</v>
      </c>
      <c r="E41" t="s">
        <v>2897</v>
      </c>
      <c r="F41" t="s">
        <v>2897</v>
      </c>
    </row>
    <row r="42" spans="1:9">
      <c r="A42" s="90" t="s">
        <v>2898</v>
      </c>
      <c r="B42" s="88" t="s">
        <v>2899</v>
      </c>
      <c r="C42" s="88" t="s">
        <v>2899</v>
      </c>
      <c r="D42" s="88" t="s">
        <v>2899</v>
      </c>
      <c r="E42" s="88" t="s">
        <v>2899</v>
      </c>
      <c r="F42" s="88" t="s">
        <v>2899</v>
      </c>
      <c r="H42" s="38"/>
      <c r="I42" s="38"/>
    </row>
    <row r="43" spans="1:9">
      <c r="A43" t="s">
        <v>2863</v>
      </c>
      <c r="B43" t="s">
        <v>2900</v>
      </c>
      <c r="C43" t="s">
        <v>2900</v>
      </c>
      <c r="D43" t="s">
        <v>2900</v>
      </c>
      <c r="E43" t="s">
        <v>2900</v>
      </c>
      <c r="F43" t="s">
        <v>2900</v>
      </c>
      <c r="I43" s="38"/>
    </row>
    <row r="44" spans="1:9">
      <c r="A44" t="s">
        <v>2865</v>
      </c>
      <c r="B44" t="s">
        <v>2844</v>
      </c>
      <c r="C44" t="s">
        <v>2844</v>
      </c>
      <c r="D44" t="s">
        <v>2844</v>
      </c>
      <c r="E44" t="s">
        <v>2844</v>
      </c>
      <c r="F44" t="s">
        <v>2844</v>
      </c>
      <c r="I44" s="85"/>
    </row>
    <row r="45" spans="1:9">
      <c r="B45" s="88" t="s">
        <v>2901</v>
      </c>
      <c r="C45" s="1"/>
      <c r="D45" s="88" t="s">
        <v>2901</v>
      </c>
    </row>
    <row r="46" spans="1:9">
      <c r="A46" t="s">
        <v>2846</v>
      </c>
      <c r="B46" t="s">
        <v>2902</v>
      </c>
      <c r="C46" t="s">
        <v>2902</v>
      </c>
      <c r="D46" t="s">
        <v>2902</v>
      </c>
      <c r="E46" t="s">
        <v>2902</v>
      </c>
      <c r="F46" t="s">
        <v>2902</v>
      </c>
      <c r="H46" s="1"/>
    </row>
    <row r="47" spans="1:9">
      <c r="I47" s="41"/>
    </row>
    <row r="53" spans="8:9">
      <c r="I53" s="38"/>
    </row>
    <row r="55" spans="8:9">
      <c r="I55" s="41"/>
    </row>
    <row r="59" spans="8:9">
      <c r="H59" s="1"/>
    </row>
    <row r="60" spans="8:9">
      <c r="I60" s="41"/>
    </row>
    <row r="63" spans="8:9">
      <c r="I63" s="38"/>
    </row>
    <row r="66" spans="9:9">
      <c r="I66" s="38"/>
    </row>
    <row r="68" spans="9:9">
      <c r="I68" s="41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7CA3F5129945EE43BEE6B3EAD8784E35" ma:contentTypeVersion="16" ma:contentTypeDescription="Opret et nyt dokument." ma:contentTypeScope="" ma:versionID="eff262e867160ae1ff067e172792e724">
  <xsd:schema xmlns:xsd="http://www.w3.org/2001/XMLSchema" xmlns:xs="http://www.w3.org/2001/XMLSchema" xmlns:p="http://schemas.microsoft.com/office/2006/metadata/properties" xmlns:ns2="10324146-a374-458d-92bb-4aa94378eb75" xmlns:ns3="cdb79d77-2f06-47cf-a404-58cfb75f6532" targetNamespace="http://schemas.microsoft.com/office/2006/metadata/properties" ma:root="true" ma:fieldsID="92db8d7611900d45f9fea8d3bdeaba79" ns2:_="" ns3:_="">
    <xsd:import namespace="10324146-a374-458d-92bb-4aa94378eb75"/>
    <xsd:import namespace="cdb79d77-2f06-47cf-a404-58cfb75f6532"/>
    <xsd:element name="properties">
      <xsd:complexType>
        <xsd:sequence>
          <xsd:element name="documentManagement">
            <xsd:complexType>
              <xsd:all>
                <xsd:element ref="ns2:Kommentar" minOccurs="0"/>
                <xsd:element ref="ns2:lcf76f155ced4ddcb4097134ff3c332f" minOccurs="0"/>
                <xsd:element ref="ns3:TaxCatchAll" minOccurs="0"/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324146-a374-458d-92bb-4aa94378eb75" elementFormDefault="qualified">
    <xsd:import namespace="http://schemas.microsoft.com/office/2006/documentManagement/types"/>
    <xsd:import namespace="http://schemas.microsoft.com/office/infopath/2007/PartnerControls"/>
    <xsd:element name="Kommentar" ma:index="3" nillable="true" ma:displayName="Kommentar" ma:format="Dropdown" ma:internalName="Kommentar" ma:readOnly="false">
      <xsd:simpleType>
        <xsd:restriction base="dms:Note">
          <xsd:maxLength value="255"/>
        </xsd:restriction>
      </xsd:simpleType>
    </xsd:element>
    <xsd:element name="lcf76f155ced4ddcb4097134ff3c332f" ma:index="9" nillable="true" ma:taxonomy="true" ma:internalName="lcf76f155ced4ddcb4097134ff3c332f" ma:taxonomyFieldName="MediaServiceImageTags" ma:displayName="Billedmærker" ma:readOnly="false" ma:fieldId="{5cf76f15-5ced-4ddc-b409-7134ff3c332f}" ma:taxonomyMulti="true" ma:sspId="b954ac37-474b-4ce9-96da-5e2495cdfa4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3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db79d77-2f06-47cf-a404-58cfb75f6532" elementFormDefault="qualified">
    <xsd:import namespace="http://schemas.microsoft.com/office/2006/documentManagement/types"/>
    <xsd:import namespace="http://schemas.microsoft.com/office/infopath/2007/PartnerControls"/>
    <xsd:element name="TaxCatchAll" ma:index="10" nillable="true" ma:displayName="Taxonomy Catch All Column" ma:hidden="true" ma:list="{f6ad855e-a8bf-48b7-b199-d31d7f7a86a5}" ma:internalName="TaxCatchAll" ma:readOnly="false" ma:showField="CatchAllData" ma:web="cdb79d77-2f06-47cf-a404-58cfb75f653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Delt med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lt med detaljer" ma:hidden="true" ma:internalName="SharedWithDetail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10324146-a374-458d-92bb-4aa94378eb75" xsi:nil="true"/>
    <TaxCatchAll xmlns="cdb79d77-2f06-47cf-a404-58cfb75f6532" xsi:nil="true"/>
    <lcf76f155ced4ddcb4097134ff3c332f xmlns="10324146-a374-458d-92bb-4aa94378eb75">
      <Terms xmlns="http://schemas.microsoft.com/office/infopath/2007/PartnerControls"/>
    </lcf76f155ced4ddcb4097134ff3c332f>
  </documentManagement>
</p:properties>
</file>

<file path=customXml/item3.xml><?xml version="1.0" encoding="utf-8"?>
<scriptIds xmlns="http://schemas.microsoft.com/office/extensibility/maker/v1.0" id="script-ids-node-id">
  <scriptId id="ms-officescript%3A%2F%2Fonedrive_business_itemlink%2F01BGDXGHYUYRUL6B64MFBYIZR5DRU5LZF2:ms-officescript%3A%2F%2Fonedrive_business_sharinglink%2Fu!aHR0cHM6Ly9ka3N1bmQtbXkuc2hhcmVwb2ludC5jb20vOnU6L2cvcGVyc29uYWwvc2F3eV9ka3N1bmRfZGsvRVJURWFMOEgzR0ZEaEdZOUhHblY1TG9Cb2hVaHlUMzhmMDBIbkpXZ3JBZkhYdw"/>
</scriptId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E7EF57E-468A-4684-9EA0-D91F531595F6}"/>
</file>

<file path=customXml/itemProps2.xml><?xml version="1.0" encoding="utf-8"?>
<ds:datastoreItem xmlns:ds="http://schemas.openxmlformats.org/officeDocument/2006/customXml" ds:itemID="{3274CE25-A887-439C-9260-1BC50DDA6571}"/>
</file>

<file path=customXml/itemProps3.xml><?xml version="1.0" encoding="utf-8"?>
<ds:datastoreItem xmlns:ds="http://schemas.openxmlformats.org/officeDocument/2006/customXml" ds:itemID="{EDE1D4FD-9398-4977-AE41-6D8AAEE72E1C}"/>
</file>

<file path=customXml/itemProps4.xml><?xml version="1.0" encoding="utf-8"?>
<ds:datastoreItem xmlns:ds="http://schemas.openxmlformats.org/officeDocument/2006/customXml" ds:itemID="{68027A8E-041D-4A50-A833-A5A14F0BB54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2024-12-20T12:52:18Z</dcterms:created>
  <dcterms:modified xsi:type="dcterms:W3CDTF">2025-10-03T12:18:45Z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0x0101007CA3F5129945EE43BEE6B3EAD8784E35</vt:lpwstr>
  </property>
  <property fmtid="{D5CDD505-2E9C-101B-9397-08002B2CF9AE}" pid="3" name="MediaServiceImageTags">
    <vt:lpwstr/>
  </property>
</Properties>
</file>